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Inputs" sheetId="2" state="visible" r:id="rId4"/>
    <sheet name="Projection Summary" sheetId="3" state="visible" r:id="rId5"/>
    <sheet name="Year-by-Year Projection" sheetId="4" state="visible" r:id="rId6"/>
    <sheet name="Scenario Comparison" sheetId="5" state="visible" r:id="rId7"/>
    <sheet name="Notes" sheetId="6"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<sst xmlns="http://schemas.openxmlformats.org/spreadsheetml/2006/main" count="135" uniqueCount="120">
  <si>
    <t xml:space="preserve">Smart Scholar Returns Template</t>
  </si>
  <si>
    <t xml:space="preserve">SmartScholarCalc.com  |  Educational Planning Workbook</t>
  </si>
  <si>
    <t xml:space="preserve">What This Workbook Does</t>
  </si>
  <si>
    <t xml:space="preserve">This spreadsheet helps you estimate and compare projected future values for a child education savings plan across three return scenarios (Conservative, Moderate, Higher).</t>
  </si>
  <si>
    <t xml:space="preserve">It is scenario-based and fully editable. Change any input on the Inputs tab and all other tabs update automatically.</t>
  </si>
  <si>
    <t xml:space="preserve">Use it to understand how contribution amount, planning duration, and return assumptions affect your projected outcome.</t>
  </si>
  <si>
    <t xml:space="preserve">How to Use This Workbook — 3 Steps</t>
  </si>
  <si>
    <t xml:space="preserve">Step 1 — Enter Your Inputs</t>
  </si>
  <si>
    <t xml:space="preserve">Go to the Inputs tab. Fill in your annual contribution, planning duration, and return assumptions.</t>
  </si>
  <si>
    <t xml:space="preserve">Step 2 — Review Projections</t>
  </si>
  <si>
    <t xml:space="preserve">Check the Projection Summary tab for a quick scenario overview, and Year-by-Year Projection for the full table.</t>
  </si>
  <si>
    <t xml:space="preserve">Step 3 — Compare &amp; Decide</t>
  </si>
  <si>
    <t xml:space="preserve">Use the Scenario Comparison tab to explore how different variables affect your outcome. Then compare with the online tools at SmartScholarCalc.com.</t>
  </si>
  <si>
    <t xml:space="preserve">⚠  Important Disclaimer</t>
  </si>
  <si>
    <t xml:space="preserve">This spreadsheet is for educational planning and scenario comparison only. It is NOT an official SBI Life illustration, insurer-issued quote, or guaranteed return output. Projections shown are hypothetical and depend entirely on the assumptions you enter. Actual policy returns, bonuses, or maturity values may differ materially. Always refer to the official policy document and consult a qualified financial adviser before making decisions.</t>
  </si>
  <si>
    <t xml:space="preserve">Workbook Tabs</t>
  </si>
  <si>
    <t xml:space="preserve">Start Here</t>
  </si>
  <si>
    <t xml:space="preserve">You are here. Overview, guide, and disclaimer.</t>
  </si>
  <si>
    <t xml:space="preserve">Inputs</t>
  </si>
  <si>
    <t xml:space="preserve">Enter all your assumptions here. Yellow/blue cells are editable.</t>
  </si>
  <si>
    <t xml:space="preserve">Projection Summary</t>
  </si>
  <si>
    <t xml:space="preserve">Quick snapshot of total invested vs projected values. On-track indicator.</t>
  </si>
  <si>
    <t xml:space="preserve">Year-by-Year Projection</t>
  </si>
  <si>
    <t xml:space="preserve">Full year-by-year table across three scenarios.</t>
  </si>
  <si>
    <t xml:space="preserve">Scenario Comparison</t>
  </si>
  <si>
    <t xml:space="preserve">Side-by-side comparison of different contribution / duration / rate combos.</t>
  </si>
  <si>
    <t xml:space="preserve">Notes</t>
  </si>
  <si>
    <t xml:space="preserve">Planning reminders, definitions, and links to SmartScholarCalc.com tools.</t>
  </si>
  <si>
    <t xml:space="preserve">© SmartScholarCalc.com — For personal planning use only. Not for redistribution.</t>
  </si>
  <si>
    <t xml:space="preserve">Inputs — Enter Your Planning Assumptions</t>
  </si>
  <si>
    <t xml:space="preserve">Blue cells are editable inputs. All other tabs update automatically.</t>
  </si>
  <si>
    <t xml:space="preserve">A — Contribution Details</t>
  </si>
  <si>
    <t xml:space="preserve">Annual Contribution Amount (₹)</t>
  </si>
  <si>
    <t xml:space="preserve">Total amount paid per year across all instalments.</t>
  </si>
  <si>
    <t xml:space="preserve">Contribution Frequency</t>
  </si>
  <si>
    <t xml:space="preserve">Annual</t>
  </si>
  <si>
    <t xml:space="preserve">Annual / Half-Yearly / Quarterly / Monthly</t>
  </si>
  <si>
    <t xml:space="preserve">B — Planning Duration &amp; Goal</t>
  </si>
  <si>
    <t xml:space="preserve">Planning Duration (Years)</t>
  </si>
  <si>
    <t xml:space="preserve">Number of years you plan to contribute.</t>
  </si>
  <si>
    <t xml:space="preserve">Child Goal Target Amount (₹)</t>
  </si>
  <si>
    <t xml:space="preserve">Optional. Leave 0 if no specific target.</t>
  </si>
  <si>
    <t xml:space="preserve">C — Return Assumptions (Annual % Rate)</t>
  </si>
  <si>
    <t xml:space="preserve">Conservative Return Rate</t>
  </si>
  <si>
    <t xml:space="preserve">Lower-end scenario. E.g. 6%.</t>
  </si>
  <si>
    <t xml:space="preserve">Moderate Return Rate</t>
  </si>
  <si>
    <t xml:space="preserve">Mid-range scenario. E.g. 8%.</t>
  </si>
  <si>
    <t xml:space="preserve">Higher Return Rate</t>
  </si>
  <si>
    <t xml:space="preserve">Optimistic scenario. E.g. 10%.</t>
  </si>
  <si>
    <t xml:space="preserve">Cell Reference Guide (for formula auditing)</t>
  </si>
  <si>
    <t xml:space="preserve">Annual Contribution</t>
  </si>
  <si>
    <t xml:space="preserve">C6</t>
  </si>
  <si>
    <t xml:space="preserve">Referenced by Projection Summary and Year-by-Year tabs</t>
  </si>
  <si>
    <t xml:space="preserve">Frequency</t>
  </si>
  <si>
    <t xml:space="preserve">C7</t>
  </si>
  <si>
    <t xml:space="preserve">Duration (Years)</t>
  </si>
  <si>
    <t xml:space="preserve">C10</t>
  </si>
  <si>
    <t xml:space="preserve">Goal Target</t>
  </si>
  <si>
    <t xml:space="preserve">C11</t>
  </si>
  <si>
    <t xml:space="preserve">Conservative Rate</t>
  </si>
  <si>
    <t xml:space="preserve">C14</t>
  </si>
  <si>
    <t xml:space="preserve">Moderate Rate</t>
  </si>
  <si>
    <t xml:space="preserve">C15</t>
  </si>
  <si>
    <t xml:space="preserve">Higher Rate</t>
  </si>
  <si>
    <t xml:space="preserve">C16</t>
  </si>
  <si>
    <t xml:space="preserve">Inputs are illustrative only. Actual returns depend on product type, bonus declarations, and market conditions.</t>
  </si>
  <si>
    <t xml:space="preserve">Figures update automatically when you change values on the Inputs tab.</t>
  </si>
  <si>
    <t xml:space="preserve">Key Metric</t>
  </si>
  <si>
    <t xml:space="preserve">Value</t>
  </si>
  <si>
    <t xml:space="preserve">Annual Contribution (₹)</t>
  </si>
  <si>
    <t xml:space="preserve">Total Amount Invested (₹)</t>
  </si>
  <si>
    <t xml:space="preserve">Goal Target Amount (₹)</t>
  </si>
  <si>
    <t xml:space="preserve">Projected Future Value by Scenario</t>
  </si>
  <si>
    <t xml:space="preserve">Conservative Scenario (₹)</t>
  </si>
  <si>
    <t xml:space="preserve">Moderate Scenario (₹)</t>
  </si>
  <si>
    <t xml:space="preserve">Higher Scenario (₹)</t>
  </si>
  <si>
    <t xml:space="preserve">Gap Analysis vs Goal Target</t>
  </si>
  <si>
    <t xml:space="preserve">Gap: Conservative vs Target (₹)</t>
  </si>
  <si>
    <t xml:space="preserve">Gap: Moderate vs Target (₹)</t>
  </si>
  <si>
    <t xml:space="preserve">Gap: Higher vs Target (₹)</t>
  </si>
  <si>
    <t xml:space="preserve">Quick Interpretation</t>
  </si>
  <si>
    <t xml:space="preserve">Note: FV formula assumes end-of-year contributions, level annual amount, and constant rate. This is a simplification.</t>
  </si>
  <si>
    <t xml:space="preserve">Updates automatically from the Inputs tab. Max 30 years shown.</t>
  </si>
  <si>
    <t xml:space="preserve">Year</t>
  </si>
  <si>
    <t xml:space="preserve">Annual
Contribution (₹)</t>
  </si>
  <si>
    <t xml:space="preserve">Cumulative
Invested (₹)</t>
  </si>
  <si>
    <t xml:space="preserve">Conservative
Scenario (₹)</t>
  </si>
  <si>
    <t xml:space="preserve">Moderate
Scenario (₹)</t>
  </si>
  <si>
    <t xml:space="preserve">Higher
Scenario (₹)</t>
  </si>
  <si>
    <t xml:space="preserve">Formula: FV(rate, nper, -pmt, 0, 0) — assumes level annual contributions at end of each year and constant rate. Actual outcomes depend on product type, market performance, and bonus declarations.</t>
  </si>
  <si>
    <t xml:space="preserve">Compare how changing contribution, duration, or return rate affects projected outcome.</t>
  </si>
  <si>
    <t xml:space="preserve">Part 1 — Impact of Different Annual Contributions  (Moderate Rate, Base Duration)</t>
  </si>
  <si>
    <t xml:space="preserve">Conservative FV (₹)</t>
  </si>
  <si>
    <t xml:space="preserve">Moderate FV (₹)</t>
  </si>
  <si>
    <t xml:space="preserve">Higher FV (₹)</t>
  </si>
  <si>
    <t xml:space="preserve">Part 2 — Impact of Different Planning Durations  (Base Contribution, Moderate Rate)</t>
  </si>
  <si>
    <t xml:space="preserve">Part 3 — Rate Sensitivity  (Base Contribution &amp; Duration from Inputs tab)</t>
  </si>
  <si>
    <t xml:space="preserve">Annual Rate</t>
  </si>
  <si>
    <t xml:space="preserve">Total Invested (₹)</t>
  </si>
  <si>
    <t xml:space="preserve">Projected FV (₹)</t>
  </si>
  <si>
    <t xml:space="preserve">Multiple on Investment</t>
  </si>
  <si>
    <t xml:space="preserve">All projections are illustrative. Rows in Part 1 use hardcoded contribution values; Parts 2 &amp; 3 reference the Inputs tab.</t>
  </si>
  <si>
    <t xml:space="preserve">Notes, Reminders &amp; Useful Links</t>
  </si>
  <si>
    <t xml:space="preserve">PLANNING REMINDERS</t>
  </si>
  <si>
    <t xml:space="preserve">1. Start early. The FV formula shows clearly that a longer duration has a compound effect — 5 extra years can dramatically change outcomes.</t>
  </si>
  <si>
    <t xml:space="preserve">2. Contribution consistency matters. This model assumes level annual payments. Missing years or reducing contributions will lower actual outcomes.</t>
  </si>
  <si>
    <t xml:space="preserve">3. Your goal target should account for inflation. ₹10 lakhs today may be worth less in real terms in 15-20 years.</t>
  </si>
  <si>
    <t xml:space="preserve">4. Review your assumptions annually. Return rates and goals change — refresh this workbook as your situation evolves.</t>
  </si>
  <si>
    <t xml:space="preserve">ABOUT THE PROJECTIONS</t>
  </si>
  <si>
    <t xml:space="preserve">These projections use the standard Excel FV (Future Value) formula: FV(rate, nper, -pmt, 0, 0).</t>
  </si>
  <si>
    <t xml:space="preserve">This assumes: (a) level contributions each year, (b) contributions made at end of each year, (c) a constant, fixed rate of return.</t>
  </si>
  <si>
    <t xml:space="preserve">Actual outcomes for any insurance-linked or market-linked product will vary based on bonus declarations, fund performance, policy charges, and other factors.</t>
  </si>
  <si>
    <t xml:space="preserve">Market-linked outcomes are NOT guaranteed. Do not treat any number in this workbook as a promise or official projection.</t>
  </si>
  <si>
    <t xml:space="preserve">DISCLAIMER (REPEAT)</t>
  </si>
  <si>
    <t xml:space="preserve">This spreadsheet is for educational planning and scenario comparison only. It is NOT an official SBI Life illustration, insurer-issued quote, or guaranteed return output. Always consult a qualified financial adviser and refer to the official policy document.</t>
  </si>
  <si>
    <t xml:space="preserve">USEFUL TOOLS — SmartScholarCalc.com</t>
  </si>
  <si>
    <t xml:space="preserve">→ Premium Calculator: Estimate what contribution you need to reach a target.</t>
  </si>
  <si>
    <t xml:space="preserve">→ Returns Calculator: Model projected growth under different rate assumptions.</t>
  </si>
  <si>
    <t xml:space="preserve">→ Maturity Calculator: Project the maturity value based on your policy details.</t>
  </si>
  <si>
    <t xml:space="preserve">Visit SmartScholarCalc.com to use these tools alongside this workbook.</t>
  </si>
</sst>
</file>

<file path=xl/styles.xml><?xml version="1.0" encoding="utf-8"?>
<styleSheet xmlns="http://schemas.openxmlformats.org/spreadsheetml/2006/main">
  <numFmts count="6">
    <numFmt numFmtId="164" formatCode="General"/>
    <numFmt numFmtId="165" formatCode="#,##0"/>
    <numFmt numFmtId="166" formatCode="0"/>
    <numFmt numFmtId="167" formatCode="0.0%"/>
    <numFmt numFmtId="168" formatCode="General"/>
    <numFmt numFmtId="169" formatCode="0.0\x"/>
  </numFmts>
  <fonts count="22">
    <font>
      <sz val="11"/>
      <color theme="1"/>
      <name val="Calibri"/>
      <family val="2"/>
      <charset val="1"/>
    </font>
    <font>
      <sz val="10"/>
      <name val="Arial"/>
      <family val="0"/>
    </font>
    <font>
      <sz val="10"/>
      <name val="Arial"/>
      <family val="0"/>
    </font>
    <font>
      <sz val="10"/>
      <name val="Arial"/>
      <family val="0"/>
    </font>
    <font>
      <b val="true"/>
      <sz val="18"/>
      <color rgb="FFFFFFFF"/>
      <name val="Arial"/>
      <family val="0"/>
      <charset val="1"/>
    </font>
    <font>
      <i val="true"/>
      <sz val="10"/>
      <color rgb="FFFFFFFF"/>
      <name val="Arial"/>
      <family val="0"/>
      <charset val="1"/>
    </font>
    <font>
      <b val="true"/>
      <sz val="12"/>
      <color rgb="FFFFFFFF"/>
      <name val="Arial"/>
      <family val="0"/>
      <charset val="1"/>
    </font>
    <font>
      <sz val="10"/>
      <color rgb="FF000000"/>
      <name val="Arial"/>
      <family val="0"/>
      <charset val="1"/>
    </font>
    <font>
      <b val="true"/>
      <sz val="10"/>
      <color rgb="FF000000"/>
      <name val="Arial"/>
      <family val="0"/>
      <charset val="1"/>
    </font>
    <font>
      <i val="true"/>
      <sz val="10"/>
      <color rgb="FF000000"/>
      <name val="Arial"/>
      <family val="0"/>
      <charset val="1"/>
    </font>
    <font>
      <i val="true"/>
      <sz val="9"/>
      <color rgb="FF808080"/>
      <name val="Arial"/>
      <family val="0"/>
      <charset val="1"/>
    </font>
    <font>
      <b val="true"/>
      <sz val="15"/>
      <color rgb="FFFFFFFF"/>
      <name val="Arial"/>
      <family val="0"/>
      <charset val="1"/>
    </font>
    <font>
      <i val="true"/>
      <sz val="9"/>
      <color rgb="FF404040"/>
      <name val="Arial"/>
      <family val="0"/>
      <charset val="1"/>
    </font>
    <font>
      <b val="true"/>
      <sz val="11"/>
      <color rgb="FFFFFFFF"/>
      <name val="Arial"/>
      <family val="0"/>
      <charset val="1"/>
    </font>
    <font>
      <b val="true"/>
      <sz val="10"/>
      <color rgb="FF0000FF"/>
      <name val="Arial"/>
      <family val="0"/>
      <charset val="1"/>
    </font>
    <font>
      <b val="true"/>
      <sz val="10"/>
      <color rgb="FFFFFFFF"/>
      <name val="Arial"/>
      <family val="0"/>
      <charset val="1"/>
    </font>
    <font>
      <i val="true"/>
      <sz val="9"/>
      <color rgb="FFC00000"/>
      <name val="Arial"/>
      <family val="0"/>
      <charset val="1"/>
    </font>
    <font>
      <sz val="10"/>
      <color rgb="FF00B050"/>
      <name val="Arial"/>
      <family val="0"/>
      <charset val="1"/>
    </font>
    <font>
      <b val="true"/>
      <sz val="11"/>
      <color rgb="FF000000"/>
      <name val="Arial"/>
      <family val="0"/>
      <charset val="1"/>
    </font>
    <font>
      <b val="true"/>
      <sz val="9"/>
      <color rgb="FF000000"/>
      <name val="Arial"/>
      <family val="0"/>
      <charset val="1"/>
    </font>
    <font>
      <sz val="10"/>
      <color rgb="FFC00000"/>
      <name val="Arial"/>
      <family val="0"/>
      <charset val="1"/>
    </font>
    <font>
      <sz val="10"/>
      <color rgb="FF1F4E79"/>
      <name val="Arial"/>
      <family val="0"/>
      <charset val="1"/>
    </font>
  </fonts>
  <fills count="13">
    <fill>
      <patternFill patternType="none"/>
    </fill>
    <fill>
      <patternFill patternType="gray125"/>
    </fill>
    <fill>
      <patternFill patternType="solid">
        <fgColor rgb="FF1F4E79"/>
        <bgColor rgb="FF003366"/>
      </patternFill>
    </fill>
    <fill>
      <patternFill patternType="solid">
        <fgColor rgb="FF2E75B6"/>
        <bgColor rgb="FF0066CC"/>
      </patternFill>
    </fill>
    <fill>
      <patternFill patternType="solid">
        <fgColor rgb="FFF2F2F2"/>
        <bgColor rgb="FFEBF3FB"/>
      </patternFill>
    </fill>
    <fill>
      <patternFill patternType="solid">
        <fgColor rgb="FFFFFFFF"/>
        <bgColor rgb="FFF2F2F2"/>
      </patternFill>
    </fill>
    <fill>
      <patternFill patternType="solid">
        <fgColor rgb="FFDEEAF1"/>
        <bgColor rgb="FFE2EFDA"/>
      </patternFill>
    </fill>
    <fill>
      <patternFill patternType="solid">
        <fgColor rgb="FFC00000"/>
        <bgColor rgb="FF800000"/>
      </patternFill>
    </fill>
    <fill>
      <patternFill patternType="solid">
        <fgColor rgb="FFFCE4D6"/>
        <bgColor rgb="FFFFF2CC"/>
      </patternFill>
    </fill>
    <fill>
      <patternFill patternType="solid">
        <fgColor rgb="FFEBF3FB"/>
        <bgColor rgb="FFF2F2F2"/>
      </patternFill>
    </fill>
    <fill>
      <patternFill patternType="solid">
        <fgColor rgb="FFE2EFDA"/>
        <bgColor rgb="FFDEEAF1"/>
      </patternFill>
    </fill>
    <fill>
      <patternFill patternType="solid">
        <fgColor rgb="FFFFF2CC"/>
        <bgColor rgb="FFFCE4D6"/>
      </patternFill>
    </fill>
    <fill>
      <patternFill patternType="solid">
        <fgColor rgb="FFBDD7EE"/>
        <bgColor rgb="FF99CCFF"/>
      </patternFill>
    </fill>
  </fills>
  <borders count="5">
    <border diagonalUp="false" diagonalDown="false">
      <left/>
      <right/>
      <top/>
      <bottom/>
      <diagonal/>
    </border>
    <border diagonalUp="false" diagonalDown="false">
      <left style="thin">
        <color rgb="FFB8B8B8"/>
      </left>
      <right/>
      <top style="thin">
        <color rgb="FFB8B8B8"/>
      </top>
      <bottom style="thin">
        <color rgb="FFB8B8B8"/>
      </bottom>
      <diagonal/>
    </border>
    <border diagonalUp="false" diagonalDown="false">
      <left style="thin">
        <color rgb="FFB8B8B8"/>
      </left>
      <right style="thin">
        <color rgb="FFB8B8B8"/>
      </right>
      <top style="thin">
        <color rgb="FFB8B8B8"/>
      </top>
      <bottom style="thin">
        <color rgb="FFB8B8B8"/>
      </bottom>
      <diagonal/>
    </border>
    <border diagonalUp="false" diagonalDown="false">
      <left style="medium">
        <color rgb="FF2E75B6"/>
      </left>
      <right/>
      <top style="medium">
        <color rgb="FF2E75B6"/>
      </top>
      <bottom style="medium">
        <color rgb="FF2E75B6"/>
      </bottom>
      <diagonal/>
    </border>
    <border diagonalUp="false" diagonalDown="false">
      <left style="medium">
        <color rgb="FF2E75B6"/>
      </left>
      <right style="medium">
        <color rgb="FF2E75B6"/>
      </right>
      <top style="medium">
        <color rgb="FF2E75B6"/>
      </top>
      <bottom style="medium">
        <color rgb="FF2E75B6"/>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3" borderId="0" xfId="0" applyFont="true" applyBorder="true" applyAlignment="true" applyProtection="false">
      <alignment horizontal="center" vertical="center" textRotation="0" wrapText="false" indent="0" shrinkToFit="false"/>
      <protection locked="true" hidden="false"/>
    </xf>
    <xf numFmtId="164" fontId="6" fillId="3" borderId="1" xfId="0" applyFont="true" applyBorder="true" applyAlignment="true" applyProtection="false">
      <alignment horizontal="left" vertical="center" textRotation="0" wrapText="false" indent="0" shrinkToFit="false"/>
      <protection locked="true" hidden="false"/>
    </xf>
    <xf numFmtId="164" fontId="7" fillId="4" borderId="1" xfId="0" applyFont="true" applyBorder="true" applyAlignment="true" applyProtection="false">
      <alignment horizontal="left" vertical="center" textRotation="0" wrapText="true" indent="0" shrinkToFit="false"/>
      <protection locked="true" hidden="false"/>
    </xf>
    <xf numFmtId="164" fontId="7" fillId="5" borderId="1" xfId="0" applyFont="true" applyBorder="true" applyAlignment="true" applyProtection="false">
      <alignment horizontal="left" vertical="center" textRotation="0" wrapText="true" indent="0" shrinkToFit="false"/>
      <protection locked="true" hidden="false"/>
    </xf>
    <xf numFmtId="164" fontId="8" fillId="6" borderId="2" xfId="0" applyFont="true" applyBorder="true" applyAlignment="true" applyProtection="false">
      <alignment horizontal="left" vertical="center" textRotation="0" wrapText="true" indent="0" shrinkToFit="false"/>
      <protection locked="true" hidden="false"/>
    </xf>
    <xf numFmtId="164" fontId="7" fillId="5" borderId="2" xfId="0" applyFont="true" applyBorder="true" applyAlignment="true" applyProtection="false">
      <alignment horizontal="left" vertical="center" textRotation="0" wrapText="true" indent="0" shrinkToFit="false"/>
      <protection locked="true" hidden="false"/>
    </xf>
    <xf numFmtId="164" fontId="7" fillId="6" borderId="2" xfId="0" applyFont="true" applyBorder="true" applyAlignment="true" applyProtection="false">
      <alignment horizontal="left" vertical="center" textRotation="0" wrapText="true" indent="0" shrinkToFit="false"/>
      <protection locked="true" hidden="false"/>
    </xf>
    <xf numFmtId="164" fontId="6" fillId="7" borderId="1" xfId="0" applyFont="true" applyBorder="true" applyAlignment="true" applyProtection="false">
      <alignment horizontal="left" vertical="center" textRotation="0" wrapText="false" indent="0" shrinkToFit="false"/>
      <protection locked="true" hidden="false"/>
    </xf>
    <xf numFmtId="164" fontId="9" fillId="8" borderId="3" xfId="0" applyFont="true" applyBorder="true" applyAlignment="true" applyProtection="false">
      <alignment horizontal="left" vertical="center" textRotation="0" wrapText="true" indent="0" shrinkToFit="false"/>
      <protection locked="true" hidden="false"/>
    </xf>
    <xf numFmtId="164" fontId="7" fillId="4" borderId="2" xfId="0" applyFont="true" applyBorder="true" applyAlignment="true" applyProtection="false">
      <alignment horizontal="left" vertical="center" textRotation="0" wrapText="true" indent="0" shrinkToFit="false"/>
      <protection locked="true" hidden="false"/>
    </xf>
    <xf numFmtId="164" fontId="10" fillId="5" borderId="0" xfId="0" applyFont="true" applyBorder="true" applyAlignment="true" applyProtection="false">
      <alignment horizontal="center" vertical="center" textRotation="0" wrapText="false" indent="0" shrinkToFit="false"/>
      <protection locked="true" hidden="false"/>
    </xf>
    <xf numFmtId="164" fontId="11" fillId="2" borderId="0" xfId="0" applyFont="true" applyBorder="true" applyAlignment="true" applyProtection="false">
      <alignment horizontal="center" vertical="center" textRotation="0" wrapText="false" indent="0" shrinkToFit="false"/>
      <protection locked="true" hidden="false"/>
    </xf>
    <xf numFmtId="164" fontId="12" fillId="6" borderId="0" xfId="0" applyFont="true" applyBorder="true" applyAlignment="true" applyProtection="false">
      <alignment horizontal="center" vertical="bottom" textRotation="0" wrapText="false" indent="0" shrinkToFit="false"/>
      <protection locked="true" hidden="false"/>
    </xf>
    <xf numFmtId="164" fontId="13" fillId="3" borderId="2" xfId="0" applyFont="true" applyBorder="true" applyAlignment="true" applyProtection="false">
      <alignment horizontal="left" vertical="center" textRotation="0" wrapText="false" indent="0" shrinkToFit="false"/>
      <protection locked="true" hidden="false"/>
    </xf>
    <xf numFmtId="164" fontId="13" fillId="3" borderId="1" xfId="0" applyFont="true" applyBorder="true" applyAlignment="true" applyProtection="false">
      <alignment horizontal="left" vertical="center" textRotation="0" wrapText="false" indent="0" shrinkToFit="false"/>
      <protection locked="true" hidden="false"/>
    </xf>
    <xf numFmtId="165" fontId="14" fillId="9" borderId="4" xfId="0" applyFont="true" applyBorder="true" applyAlignment="true" applyProtection="false">
      <alignment horizontal="right" vertical="center" textRotation="0" wrapText="false" indent="0" shrinkToFit="false"/>
      <protection locked="true" hidden="false"/>
    </xf>
    <xf numFmtId="164" fontId="9" fillId="4" borderId="2" xfId="0" applyFont="true" applyBorder="true" applyAlignment="true" applyProtection="false">
      <alignment horizontal="left" vertical="center" textRotation="0" wrapText="true" indent="0" shrinkToFit="false"/>
      <protection locked="true" hidden="false"/>
    </xf>
    <xf numFmtId="164" fontId="14" fillId="9" borderId="4" xfId="0" applyFont="true" applyBorder="true" applyAlignment="true" applyProtection="false">
      <alignment horizontal="right" vertical="center" textRotation="0" wrapText="false" indent="0" shrinkToFit="false"/>
      <protection locked="true" hidden="false"/>
    </xf>
    <xf numFmtId="164" fontId="9" fillId="5" borderId="2" xfId="0" applyFont="true" applyBorder="true" applyAlignment="true" applyProtection="false">
      <alignment horizontal="left" vertical="center" textRotation="0" wrapText="true" indent="0" shrinkToFit="false"/>
      <protection locked="true" hidden="false"/>
    </xf>
    <xf numFmtId="166" fontId="14" fillId="9" borderId="4" xfId="0" applyFont="true" applyBorder="true" applyAlignment="true" applyProtection="false">
      <alignment horizontal="right" vertical="center" textRotation="0" wrapText="false" indent="0" shrinkToFit="false"/>
      <protection locked="true" hidden="false"/>
    </xf>
    <xf numFmtId="167" fontId="14" fillId="9" borderId="4" xfId="0" applyFont="true" applyBorder="true" applyAlignment="true" applyProtection="false">
      <alignment horizontal="right" vertical="center" textRotation="0" wrapText="false" indent="0" shrinkToFit="false"/>
      <protection locked="true" hidden="false"/>
    </xf>
    <xf numFmtId="164" fontId="15" fillId="2" borderId="1" xfId="0" applyFont="true" applyBorder="true" applyAlignment="true" applyProtection="false">
      <alignment horizontal="left" vertical="center" textRotation="0" wrapText="false" indent="0" shrinkToFit="false"/>
      <protection locked="true" hidden="false"/>
    </xf>
    <xf numFmtId="164" fontId="7" fillId="6" borderId="2" xfId="0" applyFont="true" applyBorder="true" applyAlignment="true" applyProtection="false">
      <alignment horizontal="center" vertical="center" textRotation="0" wrapText="true" indent="0" shrinkToFit="false"/>
      <protection locked="true" hidden="false"/>
    </xf>
    <xf numFmtId="164" fontId="16" fillId="8" borderId="0" xfId="0" applyFont="true" applyBorder="true" applyAlignment="true" applyProtection="false">
      <alignment horizontal="center" vertical="bottom" textRotation="0" wrapText="true" indent="0" shrinkToFit="false"/>
      <protection locked="true" hidden="false"/>
    </xf>
    <xf numFmtId="164" fontId="13" fillId="3" borderId="2" xfId="0" applyFont="true" applyBorder="true" applyAlignment="true" applyProtection="false">
      <alignment horizontal="right" vertical="center" textRotation="0" wrapText="false" indent="0" shrinkToFit="false"/>
      <protection locked="true" hidden="false"/>
    </xf>
    <xf numFmtId="165" fontId="17" fillId="4" borderId="2" xfId="0" applyFont="true" applyBorder="true" applyAlignment="true" applyProtection="false">
      <alignment horizontal="right" vertical="center" textRotation="0" wrapText="false" indent="0" shrinkToFit="false"/>
      <protection locked="true" hidden="false"/>
    </xf>
    <xf numFmtId="166" fontId="17" fillId="5" borderId="2" xfId="0" applyFont="true" applyBorder="true" applyAlignment="true" applyProtection="false">
      <alignment horizontal="right" vertical="center" textRotation="0" wrapText="false" indent="0" shrinkToFit="false"/>
      <protection locked="true" hidden="false"/>
    </xf>
    <xf numFmtId="165" fontId="17" fillId="5" borderId="2" xfId="0" applyFont="true" applyBorder="true" applyAlignment="true" applyProtection="false">
      <alignment horizontal="right" vertical="center" textRotation="0" wrapText="false" indent="0" shrinkToFit="false"/>
      <protection locked="true" hidden="false"/>
    </xf>
    <xf numFmtId="164" fontId="8" fillId="10" borderId="2" xfId="0" applyFont="true" applyBorder="true" applyAlignment="true" applyProtection="false">
      <alignment horizontal="left" vertical="center" textRotation="0" wrapText="true" indent="0" shrinkToFit="false"/>
      <protection locked="true" hidden="false"/>
    </xf>
    <xf numFmtId="165" fontId="8" fillId="10" borderId="2" xfId="0" applyFont="true" applyBorder="true" applyAlignment="true" applyProtection="false">
      <alignment horizontal="right" vertical="center" textRotation="0" wrapText="false" indent="0" shrinkToFit="false"/>
      <protection locked="true" hidden="false"/>
    </xf>
    <xf numFmtId="164" fontId="7" fillId="11" borderId="2" xfId="0" applyFont="true" applyBorder="true" applyAlignment="true" applyProtection="false">
      <alignment horizontal="left" vertical="center" textRotation="0" wrapText="true" indent="0" shrinkToFit="false"/>
      <protection locked="true" hidden="false"/>
    </xf>
    <xf numFmtId="165" fontId="7" fillId="11" borderId="2" xfId="0" applyFont="true" applyBorder="true" applyAlignment="true" applyProtection="false">
      <alignment horizontal="right" vertical="center" textRotation="0" wrapText="false" indent="0" shrinkToFit="false"/>
      <protection locked="true" hidden="false"/>
    </xf>
    <xf numFmtId="164" fontId="18" fillId="6" borderId="3" xfId="0" applyFont="true" applyBorder="true" applyAlignment="true" applyProtection="false">
      <alignment horizontal="center" vertical="center" textRotation="0" wrapText="true" indent="0" shrinkToFit="false"/>
      <protection locked="true" hidden="false"/>
    </xf>
    <xf numFmtId="164" fontId="10" fillId="5" borderId="0" xfId="0" applyFont="true" applyBorder="true" applyAlignment="true" applyProtection="false">
      <alignment horizontal="center" vertical="bottom" textRotation="0" wrapText="true" indent="0" shrinkToFit="false"/>
      <protection locked="true" hidden="false"/>
    </xf>
    <xf numFmtId="164" fontId="15" fillId="3" borderId="2" xfId="0" applyFont="true" applyBorder="true" applyAlignment="true" applyProtection="false">
      <alignment horizontal="center" vertical="center" textRotation="0" wrapText="true" indent="0" shrinkToFit="false"/>
      <protection locked="true" hidden="false"/>
    </xf>
    <xf numFmtId="168" fontId="7" fillId="5" borderId="2" xfId="0" applyFont="true" applyBorder="true" applyAlignment="true" applyProtection="false">
      <alignment horizontal="center" vertical="center" textRotation="0" wrapText="false" indent="0" shrinkToFit="false"/>
      <protection locked="true" hidden="false"/>
    </xf>
    <xf numFmtId="165" fontId="7" fillId="5" borderId="2" xfId="0" applyFont="true" applyBorder="true" applyAlignment="true" applyProtection="false">
      <alignment horizontal="right" vertical="center" textRotation="0" wrapText="false" indent="0" shrinkToFit="false"/>
      <protection locked="true" hidden="false"/>
    </xf>
    <xf numFmtId="168" fontId="7" fillId="4" borderId="2" xfId="0" applyFont="true" applyBorder="true" applyAlignment="true" applyProtection="false">
      <alignment horizontal="center" vertical="center" textRotation="0" wrapText="false" indent="0" shrinkToFit="false"/>
      <protection locked="true" hidden="false"/>
    </xf>
    <xf numFmtId="165" fontId="7" fillId="4" borderId="2" xfId="0" applyFont="true" applyBorder="true" applyAlignment="true" applyProtection="false">
      <alignment horizontal="right" vertical="center" textRotation="0" wrapText="false" indent="0" shrinkToFit="false"/>
      <protection locked="true" hidden="false"/>
    </xf>
    <xf numFmtId="164" fontId="19" fillId="12" borderId="2" xfId="0" applyFont="true" applyBorder="true" applyAlignment="true" applyProtection="false">
      <alignment horizontal="center" vertical="center" textRotation="0" wrapText="false" indent="0" shrinkToFit="false"/>
      <protection locked="true" hidden="false"/>
    </xf>
    <xf numFmtId="165" fontId="7" fillId="5" borderId="2" xfId="0" applyFont="true" applyBorder="true" applyAlignment="true" applyProtection="false">
      <alignment horizontal="right" vertical="center" textRotation="0" wrapText="true" indent="0" shrinkToFit="false"/>
      <protection locked="true" hidden="false"/>
    </xf>
    <xf numFmtId="165" fontId="7" fillId="4" borderId="2" xfId="0" applyFont="true" applyBorder="true" applyAlignment="true" applyProtection="false">
      <alignment horizontal="right" vertical="center" textRotation="0" wrapText="true" indent="0" shrinkToFit="false"/>
      <protection locked="true" hidden="false"/>
    </xf>
    <xf numFmtId="164" fontId="7" fillId="4" borderId="2" xfId="0" applyFont="true" applyBorder="true" applyAlignment="true" applyProtection="false">
      <alignment horizontal="right" vertical="center" textRotation="0" wrapText="true" indent="0" shrinkToFit="false"/>
      <protection locked="true" hidden="false"/>
    </xf>
    <xf numFmtId="164" fontId="7" fillId="5" borderId="2" xfId="0" applyFont="true" applyBorder="true" applyAlignment="true" applyProtection="false">
      <alignment horizontal="right" vertical="center" textRotation="0" wrapText="true" indent="0" shrinkToFit="false"/>
      <protection locked="true" hidden="false"/>
    </xf>
    <xf numFmtId="167" fontId="7" fillId="4" borderId="2" xfId="0" applyFont="true" applyBorder="true" applyAlignment="true" applyProtection="false">
      <alignment horizontal="right" vertical="center" textRotation="0" wrapText="true" indent="0" shrinkToFit="false"/>
      <protection locked="true" hidden="false"/>
    </xf>
    <xf numFmtId="169" fontId="7" fillId="4" borderId="2" xfId="0" applyFont="true" applyBorder="true" applyAlignment="true" applyProtection="false">
      <alignment horizontal="right" vertical="center" textRotation="0" wrapText="false" indent="0" shrinkToFit="false"/>
      <protection locked="true" hidden="false"/>
    </xf>
    <xf numFmtId="167" fontId="7" fillId="5" borderId="2" xfId="0" applyFont="true" applyBorder="true" applyAlignment="true" applyProtection="false">
      <alignment horizontal="right" vertical="center" textRotation="0" wrapText="true" indent="0" shrinkToFit="false"/>
      <protection locked="true" hidden="false"/>
    </xf>
    <xf numFmtId="169" fontId="7" fillId="5" borderId="2" xfId="0" applyFont="true" applyBorder="true" applyAlignment="true" applyProtection="false">
      <alignment horizontal="right" vertical="center" textRotation="0" wrapText="false" indent="0" shrinkToFit="false"/>
      <protection locked="true" hidden="false"/>
    </xf>
    <xf numFmtId="164" fontId="11" fillId="2" borderId="0" xfId="0" applyFont="true" applyBorder="false" applyAlignment="true" applyProtection="false">
      <alignment horizontal="center" vertical="center" textRotation="0" wrapText="false" indent="0" shrinkToFit="false"/>
      <protection locked="true" hidden="false"/>
    </xf>
    <xf numFmtId="164" fontId="13" fillId="3" borderId="2" xfId="0" applyFont="true" applyBorder="true" applyAlignment="true" applyProtection="false">
      <alignment horizontal="left" vertical="center" textRotation="0" wrapText="true" indent="0" shrinkToFit="false"/>
      <protection locked="true" hidden="false"/>
    </xf>
    <xf numFmtId="164" fontId="20" fillId="8" borderId="2" xfId="0" applyFont="true" applyBorder="true" applyAlignment="true" applyProtection="false">
      <alignment horizontal="left" vertical="center" textRotation="0" wrapText="true" indent="0" shrinkToFit="false"/>
      <protection locked="true" hidden="false"/>
    </xf>
    <xf numFmtId="164" fontId="13" fillId="7" borderId="2" xfId="0" applyFont="true" applyBorder="true" applyAlignment="true" applyProtection="false">
      <alignment horizontal="left" vertical="center" textRotation="0" wrapText="true" indent="0" shrinkToFit="false"/>
      <protection locked="true" hidden="false"/>
    </xf>
    <xf numFmtId="164" fontId="21" fillId="5" borderId="2"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8B8B8"/>
      <rgbColor rgb="FF808080"/>
      <rgbColor rgb="FF9999FF"/>
      <rgbColor rgb="FF993366"/>
      <rgbColor rgb="FFFFF2CC"/>
      <rgbColor rgb="FFEBF3FB"/>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DEEAF1"/>
      <rgbColor rgb="FFE2EFDA"/>
      <rgbColor rgb="FFF2F2F2"/>
      <rgbColor rgb="FF99CCFF"/>
      <rgbColor rgb="FFFF99CC"/>
      <rgbColor rgb="FFCC99FF"/>
      <rgbColor rgb="FFFCE4D6"/>
      <rgbColor rgb="FF2E75B6"/>
      <rgbColor rgb="FF33CCCC"/>
      <rgbColor rgb="FF99CC00"/>
      <rgbColor rgb="FFFFCC00"/>
      <rgbColor rgb="FFFF9900"/>
      <rgbColor rgb="FFFF6600"/>
      <rgbColor rgb="FF666699"/>
      <rgbColor rgb="FF969696"/>
      <rgbColor rgb="FF003366"/>
      <rgbColor rgb="FF00B050"/>
      <rgbColor rgb="FF003300"/>
      <rgbColor rgb="FF333300"/>
      <rgbColor rgb="FF993300"/>
      <rgbColor rgb="FF993366"/>
      <rgbColor rgb="FF1F4E79"/>
      <rgbColor rgb="FF40404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C3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2"/>
    <col collapsed="false" customWidth="true" hidden="false" outlineLevel="0" max="3" min="3" style="0" width="60"/>
    <col collapsed="false" customWidth="true" hidden="false" outlineLevel="0" max="4" min="4" style="0" width="3"/>
  </cols>
  <sheetData>
    <row r="1" customFormat="false" ht="18" hidden="false" customHeight="true" outlineLevel="0" collapsed="false"/>
    <row r="2" customFormat="false" ht="36" hidden="false" customHeight="true" outlineLevel="0" collapsed="false">
      <c r="B2" s="1" t="s">
        <v>0</v>
      </c>
      <c r="C2" s="1"/>
    </row>
    <row r="3" customFormat="false" ht="18" hidden="false" customHeight="true" outlineLevel="0" collapsed="false">
      <c r="B3" s="2" t="s">
        <v>1</v>
      </c>
      <c r="C3" s="2"/>
    </row>
    <row r="4" customFormat="false" ht="18" hidden="false" customHeight="true" outlineLevel="0" collapsed="false"/>
    <row r="5" customFormat="false" ht="18" hidden="false" customHeight="true" outlineLevel="0" collapsed="false">
      <c r="B5" s="3" t="s">
        <v>2</v>
      </c>
      <c r="C5" s="3"/>
    </row>
    <row r="6" customFormat="false" ht="30" hidden="false" customHeight="true" outlineLevel="0" collapsed="false">
      <c r="B6" s="4" t="s">
        <v>3</v>
      </c>
      <c r="C6" s="4"/>
    </row>
    <row r="7" customFormat="false" ht="30" hidden="false" customHeight="true" outlineLevel="0" collapsed="false">
      <c r="B7" s="5" t="s">
        <v>4</v>
      </c>
      <c r="C7" s="5"/>
    </row>
    <row r="8" customFormat="false" ht="30" hidden="false" customHeight="true" outlineLevel="0" collapsed="false">
      <c r="B8" s="4" t="s">
        <v>5</v>
      </c>
      <c r="C8" s="4"/>
    </row>
    <row r="9" customFormat="false" ht="18" hidden="false" customHeight="true" outlineLevel="0" collapsed="false"/>
    <row r="10" customFormat="false" ht="18" hidden="false" customHeight="true" outlineLevel="0" collapsed="false">
      <c r="B10" s="3" t="s">
        <v>6</v>
      </c>
      <c r="C10" s="3"/>
    </row>
    <row r="11" customFormat="false" ht="30" hidden="false" customHeight="true" outlineLevel="0" collapsed="false">
      <c r="B11" s="6" t="s">
        <v>7</v>
      </c>
      <c r="C11" s="7" t="s">
        <v>8</v>
      </c>
    </row>
    <row r="12" customFormat="false" ht="30" hidden="false" customHeight="true" outlineLevel="0" collapsed="false">
      <c r="B12" s="6" t="s">
        <v>9</v>
      </c>
      <c r="C12" s="8" t="s">
        <v>10</v>
      </c>
    </row>
    <row r="13" customFormat="false" ht="30" hidden="false" customHeight="true" outlineLevel="0" collapsed="false">
      <c r="B13" s="6" t="s">
        <v>11</v>
      </c>
      <c r="C13" s="7" t="s">
        <v>12</v>
      </c>
    </row>
    <row r="14" customFormat="false" ht="18" hidden="false" customHeight="true" outlineLevel="0" collapsed="false"/>
    <row r="15" customFormat="false" ht="18" hidden="false" customHeight="true" outlineLevel="0" collapsed="false">
      <c r="B15" s="9" t="s">
        <v>13</v>
      </c>
      <c r="C15" s="9"/>
    </row>
    <row r="16" customFormat="false" ht="72" hidden="false" customHeight="true" outlineLevel="0" collapsed="false">
      <c r="B16" s="10" t="s">
        <v>14</v>
      </c>
      <c r="C16" s="10"/>
    </row>
    <row r="17" customFormat="false" ht="18" hidden="false" customHeight="true" outlineLevel="0" collapsed="false"/>
    <row r="18" customFormat="false" ht="18" hidden="false" customHeight="true" outlineLevel="0" collapsed="false">
      <c r="B18" s="3" t="s">
        <v>15</v>
      </c>
      <c r="C18" s="3"/>
    </row>
    <row r="19" customFormat="false" ht="18" hidden="false" customHeight="true" outlineLevel="0" collapsed="false">
      <c r="B19" s="6" t="s">
        <v>16</v>
      </c>
      <c r="C19" s="11" t="s">
        <v>17</v>
      </c>
    </row>
    <row r="20" customFormat="false" ht="18" hidden="false" customHeight="true" outlineLevel="0" collapsed="false">
      <c r="B20" s="6" t="s">
        <v>18</v>
      </c>
      <c r="C20" s="7" t="s">
        <v>19</v>
      </c>
    </row>
    <row r="21" customFormat="false" ht="18" hidden="false" customHeight="true" outlineLevel="0" collapsed="false">
      <c r="B21" s="6" t="s">
        <v>20</v>
      </c>
      <c r="C21" s="11" t="s">
        <v>21</v>
      </c>
    </row>
    <row r="22" customFormat="false" ht="18" hidden="false" customHeight="true" outlineLevel="0" collapsed="false">
      <c r="B22" s="6" t="s">
        <v>22</v>
      </c>
      <c r="C22" s="7" t="s">
        <v>23</v>
      </c>
    </row>
    <row r="23" customFormat="false" ht="18" hidden="false" customHeight="true" outlineLevel="0" collapsed="false">
      <c r="B23" s="6" t="s">
        <v>24</v>
      </c>
      <c r="C23" s="11" t="s">
        <v>25</v>
      </c>
    </row>
    <row r="24" customFormat="false" ht="18" hidden="false" customHeight="true" outlineLevel="0" collapsed="false">
      <c r="B24" s="6" t="s">
        <v>26</v>
      </c>
      <c r="C24" s="7" t="s">
        <v>27</v>
      </c>
    </row>
    <row r="25" customFormat="false" ht="18" hidden="false" customHeight="true" outlineLevel="0" collapsed="false"/>
    <row r="26" customFormat="false" ht="18" hidden="false" customHeight="true" outlineLevel="0" collapsed="false"/>
    <row r="27" customFormat="false" ht="18" hidden="false" customHeight="true" outlineLevel="0" collapsed="false">
      <c r="B27" s="12" t="s">
        <v>28</v>
      </c>
      <c r="C27" s="12"/>
    </row>
    <row r="28" customFormat="false" ht="18" hidden="false" customHeight="true" outlineLevel="0" collapsed="false"/>
    <row r="29" customFormat="false" ht="18" hidden="false" customHeight="true" outlineLevel="0" collapsed="false"/>
    <row r="30" customFormat="false" ht="18" hidden="false" customHeight="true" outlineLevel="0" collapsed="false"/>
    <row r="31" customFormat="false" ht="18" hidden="false" customHeight="true" outlineLevel="0" collapsed="false"/>
    <row r="32" customFormat="false" ht="18" hidden="false" customHeight="true" outlineLevel="0" collapsed="false"/>
    <row r="33" customFormat="false" ht="18" hidden="false" customHeight="true" outlineLevel="0" collapsed="false"/>
    <row r="34" customFormat="false" ht="18" hidden="false" customHeight="true" outlineLevel="0" collapsed="false"/>
    <row r="35" customFormat="false" ht="18" hidden="false" customHeight="true" outlineLevel="0" collapsed="false"/>
  </sheetData>
  <mergeCells count="11">
    <mergeCell ref="B2:C2"/>
    <mergeCell ref="B3:C3"/>
    <mergeCell ref="B5:C5"/>
    <mergeCell ref="B6:C6"/>
    <mergeCell ref="B7:C7"/>
    <mergeCell ref="B8:C8"/>
    <mergeCell ref="B10:C10"/>
    <mergeCell ref="B15:C15"/>
    <mergeCell ref="B16:C16"/>
    <mergeCell ref="B18:C18"/>
    <mergeCell ref="B27:C2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D3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2"/>
    <col collapsed="false" customWidth="true" hidden="false" outlineLevel="0" max="3" min="3" style="0" width="22"/>
    <col collapsed="false" customWidth="true" hidden="false" outlineLevel="0" max="4" min="4" style="0" width="28"/>
    <col collapsed="false" customWidth="true" hidden="false" outlineLevel="0" max="5" min="5" style="0" width="3"/>
  </cols>
  <sheetData>
    <row r="1" customFormat="false" ht="19.5" hidden="false" customHeight="true" outlineLevel="0" collapsed="false"/>
    <row r="2" customFormat="false" ht="31.5" hidden="false" customHeight="true" outlineLevel="0" collapsed="false">
      <c r="B2" s="13" t="s">
        <v>29</v>
      </c>
      <c r="C2" s="13"/>
      <c r="D2" s="13"/>
    </row>
    <row r="3" customFormat="false" ht="19.5" hidden="false" customHeight="true" outlineLevel="0" collapsed="false">
      <c r="B3" s="14" t="s">
        <v>30</v>
      </c>
      <c r="C3" s="14"/>
      <c r="D3" s="14"/>
    </row>
    <row r="4" customFormat="false" ht="19.5" hidden="false" customHeight="true" outlineLevel="0" collapsed="false"/>
    <row r="5" customFormat="false" ht="19.5" hidden="false" customHeight="true" outlineLevel="0" collapsed="false">
      <c r="B5" s="15" t="s">
        <v>31</v>
      </c>
      <c r="C5" s="16"/>
      <c r="D5" s="16"/>
    </row>
    <row r="6" customFormat="false" ht="19.5" hidden="false" customHeight="true" outlineLevel="0" collapsed="false">
      <c r="B6" s="11" t="s">
        <v>32</v>
      </c>
      <c r="C6" s="17" t="n">
        <v>50000</v>
      </c>
      <c r="D6" s="18" t="s">
        <v>33</v>
      </c>
    </row>
    <row r="7" customFormat="false" ht="19.5" hidden="false" customHeight="true" outlineLevel="0" collapsed="false">
      <c r="B7" s="7" t="s">
        <v>34</v>
      </c>
      <c r="C7" s="19" t="s">
        <v>35</v>
      </c>
      <c r="D7" s="20" t="s">
        <v>36</v>
      </c>
    </row>
    <row r="8" customFormat="false" ht="19.5" hidden="false" customHeight="true" outlineLevel="0" collapsed="false"/>
    <row r="9" customFormat="false" ht="19.5" hidden="false" customHeight="true" outlineLevel="0" collapsed="false">
      <c r="B9" s="15" t="s">
        <v>37</v>
      </c>
      <c r="C9" s="16"/>
      <c r="D9" s="16"/>
    </row>
    <row r="10" customFormat="false" ht="19.5" hidden="false" customHeight="true" outlineLevel="0" collapsed="false">
      <c r="B10" s="11" t="s">
        <v>38</v>
      </c>
      <c r="C10" s="21" t="n">
        <v>15</v>
      </c>
      <c r="D10" s="18" t="s">
        <v>39</v>
      </c>
    </row>
    <row r="11" customFormat="false" ht="19.5" hidden="false" customHeight="true" outlineLevel="0" collapsed="false">
      <c r="B11" s="7" t="s">
        <v>40</v>
      </c>
      <c r="C11" s="17" t="n">
        <v>1000000</v>
      </c>
      <c r="D11" s="20" t="s">
        <v>41</v>
      </c>
    </row>
    <row r="12" customFormat="false" ht="19.5" hidden="false" customHeight="true" outlineLevel="0" collapsed="false"/>
    <row r="13" customFormat="false" ht="19.5" hidden="false" customHeight="true" outlineLevel="0" collapsed="false">
      <c r="B13" s="15" t="s">
        <v>42</v>
      </c>
      <c r="C13" s="16"/>
      <c r="D13" s="16"/>
    </row>
    <row r="14" customFormat="false" ht="19.5" hidden="false" customHeight="true" outlineLevel="0" collapsed="false">
      <c r="B14" s="11" t="s">
        <v>43</v>
      </c>
      <c r="C14" s="22" t="n">
        <v>0.06</v>
      </c>
      <c r="D14" s="18" t="s">
        <v>44</v>
      </c>
    </row>
    <row r="15" customFormat="false" ht="19.5" hidden="false" customHeight="true" outlineLevel="0" collapsed="false">
      <c r="B15" s="7" t="s">
        <v>45</v>
      </c>
      <c r="C15" s="22" t="n">
        <v>0.08</v>
      </c>
      <c r="D15" s="20" t="s">
        <v>46</v>
      </c>
    </row>
    <row r="16" customFormat="false" ht="19.5" hidden="false" customHeight="true" outlineLevel="0" collapsed="false">
      <c r="B16" s="11" t="s">
        <v>47</v>
      </c>
      <c r="C16" s="22" t="n">
        <v>0.1</v>
      </c>
      <c r="D16" s="18" t="s">
        <v>48</v>
      </c>
    </row>
    <row r="17" customFormat="false" ht="19.5" hidden="false" customHeight="true" outlineLevel="0" collapsed="false"/>
    <row r="18" customFormat="false" ht="19.5" hidden="false" customHeight="true" outlineLevel="0" collapsed="false">
      <c r="B18" s="23" t="s">
        <v>49</v>
      </c>
      <c r="C18" s="23"/>
      <c r="D18" s="23"/>
    </row>
    <row r="19" customFormat="false" ht="19.5" hidden="false" customHeight="true" outlineLevel="0" collapsed="false">
      <c r="B19" s="8" t="s">
        <v>50</v>
      </c>
      <c r="C19" s="24" t="s">
        <v>51</v>
      </c>
      <c r="D19" s="20" t="s">
        <v>52</v>
      </c>
    </row>
    <row r="20" customFormat="false" ht="19.5" hidden="false" customHeight="true" outlineLevel="0" collapsed="false">
      <c r="B20" s="8" t="s">
        <v>53</v>
      </c>
      <c r="C20" s="24" t="s">
        <v>54</v>
      </c>
      <c r="D20" s="20" t="s">
        <v>52</v>
      </c>
    </row>
    <row r="21" customFormat="false" ht="19.5" hidden="false" customHeight="true" outlineLevel="0" collapsed="false">
      <c r="B21" s="8" t="s">
        <v>55</v>
      </c>
      <c r="C21" s="24" t="s">
        <v>56</v>
      </c>
      <c r="D21" s="20" t="s">
        <v>52</v>
      </c>
    </row>
    <row r="22" customFormat="false" ht="19.5" hidden="false" customHeight="true" outlineLevel="0" collapsed="false">
      <c r="B22" s="8" t="s">
        <v>57</v>
      </c>
      <c r="C22" s="24" t="s">
        <v>58</v>
      </c>
      <c r="D22" s="20" t="s">
        <v>52</v>
      </c>
    </row>
    <row r="23" customFormat="false" ht="19.5" hidden="false" customHeight="true" outlineLevel="0" collapsed="false">
      <c r="B23" s="8" t="s">
        <v>59</v>
      </c>
      <c r="C23" s="24" t="s">
        <v>60</v>
      </c>
      <c r="D23" s="20" t="s">
        <v>52</v>
      </c>
    </row>
    <row r="24" customFormat="false" ht="19.5" hidden="false" customHeight="true" outlineLevel="0" collapsed="false">
      <c r="B24" s="8" t="s">
        <v>61</v>
      </c>
      <c r="C24" s="24" t="s">
        <v>62</v>
      </c>
      <c r="D24" s="20" t="s">
        <v>52</v>
      </c>
    </row>
    <row r="25" customFormat="false" ht="19.5" hidden="false" customHeight="true" outlineLevel="0" collapsed="false">
      <c r="B25" s="8" t="s">
        <v>63</v>
      </c>
      <c r="C25" s="24" t="s">
        <v>64</v>
      </c>
      <c r="D25" s="20" t="s">
        <v>52</v>
      </c>
    </row>
    <row r="26" customFormat="false" ht="19.5" hidden="false" customHeight="true" outlineLevel="0" collapsed="false"/>
    <row r="27" customFormat="false" ht="19.5" hidden="false" customHeight="true" outlineLevel="0" collapsed="false">
      <c r="B27" s="25" t="s">
        <v>65</v>
      </c>
      <c r="C27" s="25"/>
      <c r="D27" s="25"/>
    </row>
    <row r="28" customFormat="false" ht="19.5" hidden="false" customHeight="true" outlineLevel="0" collapsed="false"/>
    <row r="29" customFormat="false" ht="19.5" hidden="false" customHeight="true" outlineLevel="0" collapsed="false"/>
    <row r="30" customFormat="false" ht="19.5" hidden="false" customHeight="true" outlineLevel="0" collapsed="false"/>
    <row r="31" customFormat="false" ht="19.5" hidden="false" customHeight="true" outlineLevel="0" collapsed="false"/>
    <row r="32" customFormat="false" ht="19.5" hidden="false" customHeight="true" outlineLevel="0" collapsed="false"/>
    <row r="33" customFormat="false" ht="19.5" hidden="false" customHeight="true" outlineLevel="0" collapsed="false"/>
    <row r="34" customFormat="false" ht="19.5" hidden="false" customHeight="true" outlineLevel="0" collapsed="false"/>
    <row r="35" customFormat="false" ht="19.5" hidden="false" customHeight="true" outlineLevel="0" collapsed="false"/>
    <row r="36" customFormat="false" ht="19.5" hidden="false" customHeight="true" outlineLevel="0" collapsed="false"/>
    <row r="37" customFormat="false" ht="19.5" hidden="false" customHeight="true" outlineLevel="0" collapsed="false"/>
    <row r="38" customFormat="false" ht="19.5" hidden="false" customHeight="true" outlineLevel="0" collapsed="false"/>
    <row r="39" customFormat="false" ht="19.5" hidden="false" customHeight="true" outlineLevel="0" collapsed="false"/>
  </sheetData>
  <mergeCells count="7">
    <mergeCell ref="B2:D2"/>
    <mergeCell ref="B3:D3"/>
    <mergeCell ref="C5:D5"/>
    <mergeCell ref="C9:D9"/>
    <mergeCell ref="C13:D13"/>
    <mergeCell ref="B18:D18"/>
    <mergeCell ref="B27:D2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C3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6"/>
    <col collapsed="false" customWidth="true" hidden="false" outlineLevel="0" max="3" min="3" style="0" width="22"/>
    <col collapsed="false" customWidth="true" hidden="false" outlineLevel="0" max="4" min="4" style="0" width="3"/>
  </cols>
  <sheetData>
    <row r="1" customFormat="false" ht="19.5" hidden="false" customHeight="true" outlineLevel="0" collapsed="false"/>
    <row r="2" customFormat="false" ht="31.5" hidden="false" customHeight="true" outlineLevel="0" collapsed="false">
      <c r="B2" s="13" t="s">
        <v>20</v>
      </c>
      <c r="C2" s="13"/>
    </row>
    <row r="3" customFormat="false" ht="19.5" hidden="false" customHeight="true" outlineLevel="0" collapsed="false">
      <c r="B3" s="14" t="s">
        <v>66</v>
      </c>
      <c r="C3" s="14"/>
    </row>
    <row r="4" customFormat="false" ht="19.5" hidden="false" customHeight="true" outlineLevel="0" collapsed="false"/>
    <row r="5" customFormat="false" ht="19.5" hidden="false" customHeight="true" outlineLevel="0" collapsed="false">
      <c r="B5" s="15" t="s">
        <v>67</v>
      </c>
      <c r="C5" s="26" t="s">
        <v>68</v>
      </c>
    </row>
    <row r="6" customFormat="false" ht="19.5" hidden="false" customHeight="true" outlineLevel="0" collapsed="false">
      <c r="B6" s="11" t="s">
        <v>69</v>
      </c>
      <c r="C6" s="27" t="n">
        <f aca="false">Inputs!C6</f>
        <v>50000</v>
      </c>
    </row>
    <row r="7" customFormat="false" ht="19.5" hidden="false" customHeight="true" outlineLevel="0" collapsed="false">
      <c r="B7" s="7" t="s">
        <v>38</v>
      </c>
      <c r="C7" s="28" t="n">
        <f aca="false">Inputs!C10</f>
        <v>15</v>
      </c>
    </row>
    <row r="8" customFormat="false" ht="19.5" hidden="false" customHeight="true" outlineLevel="0" collapsed="false">
      <c r="B8" s="11" t="s">
        <v>70</v>
      </c>
      <c r="C8" s="27" t="n">
        <f aca="false">Inputs!C6*Inputs!C10</f>
        <v>750000</v>
      </c>
    </row>
    <row r="9" customFormat="false" ht="19.5" hidden="false" customHeight="true" outlineLevel="0" collapsed="false">
      <c r="B9" s="7" t="s">
        <v>71</v>
      </c>
      <c r="C9" s="29" t="n">
        <f aca="false">IF(Inputs!C11=0,"Not set",Inputs!C11)</f>
        <v>1000000</v>
      </c>
    </row>
    <row r="10" customFormat="false" ht="19.5" hidden="false" customHeight="true" outlineLevel="0" collapsed="false"/>
    <row r="11" customFormat="false" ht="19.5" hidden="false" customHeight="true" outlineLevel="0" collapsed="false">
      <c r="B11" s="3" t="s">
        <v>72</v>
      </c>
      <c r="C11" s="3"/>
    </row>
    <row r="12" customFormat="false" ht="19.5" hidden="false" customHeight="true" outlineLevel="0" collapsed="false">
      <c r="B12" s="30" t="s">
        <v>73</v>
      </c>
      <c r="C12" s="31" t="n">
        <f aca="false">FV(Inputs!C14,Inputs!C10,-Inputs!C6,0,0)</f>
        <v>1163798.49424974</v>
      </c>
    </row>
    <row r="13" customFormat="false" ht="19.5" hidden="false" customHeight="true" outlineLevel="0" collapsed="false">
      <c r="B13" s="30" t="s">
        <v>74</v>
      </c>
      <c r="C13" s="31" t="n">
        <f aca="false">FV(Inputs!C15,Inputs!C10,-Inputs!C6,0,0)</f>
        <v>1357605.69637392</v>
      </c>
    </row>
    <row r="14" customFormat="false" ht="19.5" hidden="false" customHeight="true" outlineLevel="0" collapsed="false">
      <c r="B14" s="30" t="s">
        <v>75</v>
      </c>
      <c r="C14" s="31" t="n">
        <f aca="false">FV(Inputs!C16,Inputs!C10,-Inputs!C6,0,0)</f>
        <v>1588624.08470783</v>
      </c>
    </row>
    <row r="15" customFormat="false" ht="19.5" hidden="false" customHeight="true" outlineLevel="0" collapsed="false"/>
    <row r="16" customFormat="false" ht="19.5" hidden="false" customHeight="true" outlineLevel="0" collapsed="false">
      <c r="B16" s="3" t="s">
        <v>76</v>
      </c>
      <c r="C16" s="3"/>
    </row>
    <row r="17" customFormat="false" ht="19.5" hidden="false" customHeight="true" outlineLevel="0" collapsed="false">
      <c r="B17" s="32" t="s">
        <v>77</v>
      </c>
      <c r="C17" s="33" t="n">
        <f aca="false">IF(Inputs!C11=0,"No target set",C12-Inputs!C11)</f>
        <v>163798.494249743</v>
      </c>
    </row>
    <row r="18" customFormat="false" ht="19.5" hidden="false" customHeight="true" outlineLevel="0" collapsed="false">
      <c r="B18" s="32" t="s">
        <v>78</v>
      </c>
      <c r="C18" s="33" t="n">
        <f aca="false">IF(Inputs!C11=0,"No target set",C13-Inputs!C11)</f>
        <v>357605.69637392</v>
      </c>
    </row>
    <row r="19" customFormat="false" ht="19.5" hidden="false" customHeight="true" outlineLevel="0" collapsed="false">
      <c r="B19" s="32" t="s">
        <v>79</v>
      </c>
      <c r="C19" s="33" t="n">
        <f aca="false">IF(Inputs!C11=0,"No target set",C14-Inputs!C11)</f>
        <v>588624.084707828</v>
      </c>
    </row>
    <row r="20" customFormat="false" ht="19.5" hidden="false" customHeight="true" outlineLevel="0" collapsed="false"/>
    <row r="21" customFormat="false" ht="19.5" hidden="false" customHeight="true" outlineLevel="0" collapsed="false">
      <c r="B21" s="3" t="s">
        <v>80</v>
      </c>
      <c r="C21" s="3"/>
    </row>
    <row r="22" customFormat="false" ht="39.75" hidden="false" customHeight="true" outlineLevel="0" collapsed="false">
      <c r="B22" s="34" t="str">
        <f aca="false">IF(Inputs!C11=0,"Enter a goal target on the Inputs tab to see an interpretation.",IF(C13&gt;=Inputs!C11,"✅ On track — moderate scenario meets your goal.",IF(C14&gt;=Inputs!C11,"⚠ Review assumptions — only higher scenario meets your goal.","❌ Needs attention — consider a higher contribution or longer duration.")))</f>
        <v>✅ On track — moderate scenario meets your goal.</v>
      </c>
      <c r="C22" s="34"/>
    </row>
    <row r="23" customFormat="false" ht="19.5" hidden="false" customHeight="true" outlineLevel="0" collapsed="false"/>
    <row r="24" customFormat="false" ht="19.5" hidden="false" customHeight="true" outlineLevel="0" collapsed="false">
      <c r="B24" s="35" t="s">
        <v>81</v>
      </c>
      <c r="C24" s="35"/>
    </row>
    <row r="25" customFormat="false" ht="19.5" hidden="false" customHeight="true" outlineLevel="0" collapsed="false"/>
    <row r="26" customFormat="false" ht="19.5" hidden="false" customHeight="true" outlineLevel="0" collapsed="false"/>
    <row r="27" customFormat="false" ht="19.5" hidden="false" customHeight="true" outlineLevel="0" collapsed="false"/>
    <row r="28" customFormat="false" ht="19.5" hidden="false" customHeight="true" outlineLevel="0" collapsed="false"/>
    <row r="29" customFormat="false" ht="19.5" hidden="false" customHeight="true" outlineLevel="0" collapsed="false"/>
    <row r="30" customFormat="false" ht="19.5" hidden="false" customHeight="true" outlineLevel="0" collapsed="false"/>
    <row r="31" customFormat="false" ht="19.5" hidden="false" customHeight="true" outlineLevel="0" collapsed="false"/>
    <row r="32" customFormat="false" ht="19.5" hidden="false" customHeight="true" outlineLevel="0" collapsed="false"/>
    <row r="33" customFormat="false" ht="19.5" hidden="false" customHeight="true" outlineLevel="0" collapsed="false"/>
    <row r="34" customFormat="false" ht="19.5" hidden="false" customHeight="true" outlineLevel="0" collapsed="false"/>
    <row r="35" customFormat="false" ht="19.5" hidden="false" customHeight="true" outlineLevel="0" collapsed="false"/>
    <row r="36" customFormat="false" ht="19.5" hidden="false" customHeight="true" outlineLevel="0" collapsed="false"/>
    <row r="37" customFormat="false" ht="19.5" hidden="false" customHeight="true" outlineLevel="0" collapsed="false"/>
    <row r="38" customFormat="false" ht="19.5" hidden="false" customHeight="true" outlineLevel="0" collapsed="false"/>
    <row r="39" customFormat="false" ht="19.5" hidden="false" customHeight="true" outlineLevel="0" collapsed="false"/>
  </sheetData>
  <mergeCells count="7">
    <mergeCell ref="B2:C2"/>
    <mergeCell ref="B3:C3"/>
    <mergeCell ref="B11:C11"/>
    <mergeCell ref="B16:C16"/>
    <mergeCell ref="B21:C21"/>
    <mergeCell ref="B22:C22"/>
    <mergeCell ref="B24:C2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8"/>
    <col collapsed="false" customWidth="true" hidden="false" outlineLevel="0" max="4" min="3" style="0" width="22"/>
    <col collapsed="false" customWidth="true" hidden="false" outlineLevel="0" max="7" min="5" style="0" width="26"/>
    <col collapsed="false" customWidth="true" hidden="false" outlineLevel="0" max="8" min="8" style="0" width="3"/>
  </cols>
  <sheetData>
    <row r="2" customFormat="false" ht="31.5" hidden="false" customHeight="true" outlineLevel="0" collapsed="false">
      <c r="B2" s="13" t="s">
        <v>22</v>
      </c>
      <c r="C2" s="13"/>
      <c r="D2" s="13"/>
      <c r="E2" s="13"/>
      <c r="F2" s="13"/>
      <c r="G2" s="13"/>
    </row>
    <row r="3" customFormat="false" ht="19.5" hidden="false" customHeight="true" outlineLevel="0" collapsed="false">
      <c r="B3" s="14" t="s">
        <v>82</v>
      </c>
      <c r="C3" s="14"/>
      <c r="D3" s="14"/>
      <c r="E3" s="14"/>
      <c r="F3" s="14"/>
      <c r="G3" s="14"/>
    </row>
    <row r="5" customFormat="false" ht="31.5" hidden="false" customHeight="true" outlineLevel="0" collapsed="false">
      <c r="B5" s="36" t="s">
        <v>83</v>
      </c>
      <c r="C5" s="36" t="s">
        <v>84</v>
      </c>
      <c r="D5" s="36" t="s">
        <v>85</v>
      </c>
      <c r="E5" s="36" t="s">
        <v>86</v>
      </c>
      <c r="F5" s="36" t="s">
        <v>87</v>
      </c>
      <c r="G5" s="36" t="s">
        <v>88</v>
      </c>
    </row>
    <row r="6" customFormat="false" ht="15" hidden="false" customHeight="false" outlineLevel="0" collapsed="false">
      <c r="B6" s="37" t="n">
        <f aca="false">IF(1&lt;=Inputs!$C$10,1,"")</f>
        <v>1</v>
      </c>
      <c r="C6" s="29" t="n">
        <f aca="false">IF(1&lt;=Inputs!$C$10,Inputs!$C$6,"")</f>
        <v>50000</v>
      </c>
      <c r="D6" s="38" t="n">
        <f aca="false">IF(1&lt;=Inputs!$C$10,Inputs!$C$6*1,"")</f>
        <v>50000</v>
      </c>
      <c r="E6" s="38" t="n">
        <f aca="false">IF(1&lt;=Inputs!$C$10,FV(Inputs!$C$14,1,-Inputs!$C$6,0,0),"")</f>
        <v>50000.0000000001</v>
      </c>
      <c r="F6" s="38" t="n">
        <f aca="false">IF(1&lt;=Inputs!$C$10,FV(Inputs!$C$15,1,-Inputs!$C$6,0,0),"")</f>
        <v>50000</v>
      </c>
      <c r="G6" s="38" t="n">
        <f aca="false">IF(1&lt;=Inputs!$C$10,FV(Inputs!$C$16,1,-Inputs!$C$6,0,0),"")</f>
        <v>50000</v>
      </c>
    </row>
    <row r="7" customFormat="false" ht="15" hidden="false" customHeight="false" outlineLevel="0" collapsed="false">
      <c r="B7" s="39" t="n">
        <f aca="false">IF(2&lt;=Inputs!$C$10,2,"")</f>
        <v>2</v>
      </c>
      <c r="C7" s="27" t="n">
        <f aca="false">IF(2&lt;=Inputs!$C$10,Inputs!$C$6,"")</f>
        <v>50000</v>
      </c>
      <c r="D7" s="40" t="n">
        <f aca="false">IF(2&lt;=Inputs!$C$10,Inputs!$C$6*2,"")</f>
        <v>100000</v>
      </c>
      <c r="E7" s="40" t="n">
        <f aca="false">IF(2&lt;=Inputs!$C$10,FV(Inputs!$C$14,2,-Inputs!$C$6,0,0),"")</f>
        <v>103000</v>
      </c>
      <c r="F7" s="40" t="n">
        <f aca="false">IF(2&lt;=Inputs!$C$10,FV(Inputs!$C$15,2,-Inputs!$C$6,0,0),"")</f>
        <v>104000</v>
      </c>
      <c r="G7" s="40" t="n">
        <f aca="false">IF(2&lt;=Inputs!$C$10,FV(Inputs!$C$16,2,-Inputs!$C$6,0,0),"")</f>
        <v>105000</v>
      </c>
    </row>
    <row r="8" customFormat="false" ht="15" hidden="false" customHeight="false" outlineLevel="0" collapsed="false">
      <c r="B8" s="37" t="n">
        <f aca="false">IF(3&lt;=Inputs!$C$10,3,"")</f>
        <v>3</v>
      </c>
      <c r="C8" s="29" t="n">
        <f aca="false">IF(3&lt;=Inputs!$C$10,Inputs!$C$6,"")</f>
        <v>50000</v>
      </c>
      <c r="D8" s="38" t="n">
        <f aca="false">IF(3&lt;=Inputs!$C$10,Inputs!$C$6*3,"")</f>
        <v>150000</v>
      </c>
      <c r="E8" s="38" t="n">
        <f aca="false">IF(3&lt;=Inputs!$C$10,FV(Inputs!$C$14,3,-Inputs!$C$6,0,0),"")</f>
        <v>159180</v>
      </c>
      <c r="F8" s="38" t="n">
        <f aca="false">IF(3&lt;=Inputs!$C$10,FV(Inputs!$C$15,3,-Inputs!$C$6,0,0),"")</f>
        <v>162320</v>
      </c>
      <c r="G8" s="38" t="n">
        <f aca="false">IF(3&lt;=Inputs!$C$10,FV(Inputs!$C$16,3,-Inputs!$C$6,0,0),"")</f>
        <v>165500</v>
      </c>
    </row>
    <row r="9" customFormat="false" ht="15" hidden="false" customHeight="false" outlineLevel="0" collapsed="false">
      <c r="B9" s="39" t="n">
        <f aca="false">IF(4&lt;=Inputs!$C$10,4,"")</f>
        <v>4</v>
      </c>
      <c r="C9" s="27" t="n">
        <f aca="false">IF(4&lt;=Inputs!$C$10,Inputs!$C$6,"")</f>
        <v>50000</v>
      </c>
      <c r="D9" s="40" t="n">
        <f aca="false">IF(4&lt;=Inputs!$C$10,Inputs!$C$6*4,"")</f>
        <v>200000</v>
      </c>
      <c r="E9" s="40" t="n">
        <f aca="false">IF(4&lt;=Inputs!$C$10,FV(Inputs!$C$14,4,-Inputs!$C$6,0,0),"")</f>
        <v>218730.8</v>
      </c>
      <c r="F9" s="40" t="n">
        <f aca="false">IF(4&lt;=Inputs!$C$10,FV(Inputs!$C$15,4,-Inputs!$C$6,0,0),"")</f>
        <v>225305.6</v>
      </c>
      <c r="G9" s="40" t="n">
        <f aca="false">IF(4&lt;=Inputs!$C$10,FV(Inputs!$C$16,4,-Inputs!$C$6,0,0),"")</f>
        <v>232050</v>
      </c>
    </row>
    <row r="10" customFormat="false" ht="15" hidden="false" customHeight="false" outlineLevel="0" collapsed="false">
      <c r="B10" s="37" t="n">
        <f aca="false">IF(5&lt;=Inputs!$C$10,5,"")</f>
        <v>5</v>
      </c>
      <c r="C10" s="29" t="n">
        <f aca="false">IF(5&lt;=Inputs!$C$10,Inputs!$C$6,"")</f>
        <v>50000</v>
      </c>
      <c r="D10" s="38" t="n">
        <f aca="false">IF(5&lt;=Inputs!$C$10,Inputs!$C$6*5,"")</f>
        <v>250000</v>
      </c>
      <c r="E10" s="38" t="n">
        <f aca="false">IF(5&lt;=Inputs!$C$10,FV(Inputs!$C$14,5,-Inputs!$C$6,0,0),"")</f>
        <v>281854.648</v>
      </c>
      <c r="F10" s="38" t="n">
        <f aca="false">IF(5&lt;=Inputs!$C$10,FV(Inputs!$C$15,5,-Inputs!$C$6,0,0),"")</f>
        <v>293330.048</v>
      </c>
      <c r="G10" s="38" t="n">
        <f aca="false">IF(5&lt;=Inputs!$C$10,FV(Inputs!$C$16,5,-Inputs!$C$6,0,0),"")</f>
        <v>305255</v>
      </c>
    </row>
    <row r="11" customFormat="false" ht="15" hidden="false" customHeight="false" outlineLevel="0" collapsed="false">
      <c r="B11" s="39" t="n">
        <f aca="false">IF(6&lt;=Inputs!$C$10,6,"")</f>
        <v>6</v>
      </c>
      <c r="C11" s="27" t="n">
        <f aca="false">IF(6&lt;=Inputs!$C$10,Inputs!$C$6,"")</f>
        <v>50000</v>
      </c>
      <c r="D11" s="40" t="n">
        <f aca="false">IF(6&lt;=Inputs!$C$10,Inputs!$C$6*6,"")</f>
        <v>300000</v>
      </c>
      <c r="E11" s="40" t="n">
        <f aca="false">IF(6&lt;=Inputs!$C$10,FV(Inputs!$C$14,6,-Inputs!$C$6,0,0),"")</f>
        <v>348765.92688</v>
      </c>
      <c r="F11" s="40" t="n">
        <f aca="false">IF(6&lt;=Inputs!$C$10,FV(Inputs!$C$15,6,-Inputs!$C$6,0,0),"")</f>
        <v>366796.45184</v>
      </c>
      <c r="G11" s="40" t="n">
        <f aca="false">IF(6&lt;=Inputs!$C$10,FV(Inputs!$C$16,6,-Inputs!$C$6,0,0),"")</f>
        <v>385780.5</v>
      </c>
    </row>
    <row r="12" customFormat="false" ht="15" hidden="false" customHeight="false" outlineLevel="0" collapsed="false">
      <c r="B12" s="37" t="n">
        <f aca="false">IF(7&lt;=Inputs!$C$10,7,"")</f>
        <v>7</v>
      </c>
      <c r="C12" s="29" t="n">
        <f aca="false">IF(7&lt;=Inputs!$C$10,Inputs!$C$6,"")</f>
        <v>50000</v>
      </c>
      <c r="D12" s="38" t="n">
        <f aca="false">IF(7&lt;=Inputs!$C$10,Inputs!$C$6*7,"")</f>
        <v>350000</v>
      </c>
      <c r="E12" s="38" t="n">
        <f aca="false">IF(7&lt;=Inputs!$C$10,FV(Inputs!$C$14,7,-Inputs!$C$6,0,0),"")</f>
        <v>419691.882492801</v>
      </c>
      <c r="F12" s="38" t="n">
        <f aca="false">IF(7&lt;=Inputs!$C$10,FV(Inputs!$C$15,7,-Inputs!$C$6,0,0),"")</f>
        <v>446140.167987201</v>
      </c>
      <c r="G12" s="38" t="n">
        <f aca="false">IF(7&lt;=Inputs!$C$10,FV(Inputs!$C$16,7,-Inputs!$C$6,0,0),"")</f>
        <v>474358.550000001</v>
      </c>
    </row>
    <row r="13" customFormat="false" ht="15" hidden="false" customHeight="false" outlineLevel="0" collapsed="false">
      <c r="B13" s="39" t="n">
        <f aca="false">IF(8&lt;=Inputs!$C$10,8,"")</f>
        <v>8</v>
      </c>
      <c r="C13" s="27" t="n">
        <f aca="false">IF(8&lt;=Inputs!$C$10,Inputs!$C$6,"")</f>
        <v>50000</v>
      </c>
      <c r="D13" s="40" t="n">
        <f aca="false">IF(8&lt;=Inputs!$C$10,Inputs!$C$6*8,"")</f>
        <v>400000</v>
      </c>
      <c r="E13" s="40" t="n">
        <f aca="false">IF(8&lt;=Inputs!$C$10,FV(Inputs!$C$14,8,-Inputs!$C$6,0,0),"")</f>
        <v>494873.395442369</v>
      </c>
      <c r="F13" s="40" t="n">
        <f aca="false">IF(8&lt;=Inputs!$C$10,FV(Inputs!$C$15,8,-Inputs!$C$6,0,0),"")</f>
        <v>531831.381426177</v>
      </c>
      <c r="G13" s="40" t="n">
        <f aca="false">IF(8&lt;=Inputs!$C$10,FV(Inputs!$C$16,8,-Inputs!$C$6,0,0),"")</f>
        <v>571794.405000001</v>
      </c>
    </row>
    <row r="14" customFormat="false" ht="15" hidden="false" customHeight="false" outlineLevel="0" collapsed="false">
      <c r="B14" s="37" t="n">
        <f aca="false">IF(9&lt;=Inputs!$C$10,9,"")</f>
        <v>9</v>
      </c>
      <c r="C14" s="29" t="n">
        <f aca="false">IF(9&lt;=Inputs!$C$10,Inputs!$C$6,"")</f>
        <v>50000</v>
      </c>
      <c r="D14" s="38" t="n">
        <f aca="false">IF(9&lt;=Inputs!$C$10,Inputs!$C$6*9,"")</f>
        <v>450000</v>
      </c>
      <c r="E14" s="38" t="n">
        <f aca="false">IF(9&lt;=Inputs!$C$10,FV(Inputs!$C$14,9,-Inputs!$C$6,0,0),"")</f>
        <v>574565.799168911</v>
      </c>
      <c r="F14" s="38" t="n">
        <f aca="false">IF(9&lt;=Inputs!$C$10,FV(Inputs!$C$15,9,-Inputs!$C$6,0,0),"")</f>
        <v>624377.891940271</v>
      </c>
      <c r="G14" s="38" t="n">
        <f aca="false">IF(9&lt;=Inputs!$C$10,FV(Inputs!$C$16,9,-Inputs!$C$6,0,0),"")</f>
        <v>678973.845500001</v>
      </c>
    </row>
    <row r="15" customFormat="false" ht="15" hidden="false" customHeight="false" outlineLevel="0" collapsed="false">
      <c r="B15" s="39" t="n">
        <f aca="false">IF(10&lt;=Inputs!$C$10,10,"")</f>
        <v>10</v>
      </c>
      <c r="C15" s="27" t="n">
        <f aca="false">IF(10&lt;=Inputs!$C$10,Inputs!$C$6,"")</f>
        <v>50000</v>
      </c>
      <c r="D15" s="40" t="n">
        <f aca="false">IF(10&lt;=Inputs!$C$10,Inputs!$C$6*10,"")</f>
        <v>500000</v>
      </c>
      <c r="E15" s="40" t="n">
        <f aca="false">IF(10&lt;=Inputs!$C$10,FV(Inputs!$C$14,10,-Inputs!$C$6,0,0),"")</f>
        <v>659039.747119046</v>
      </c>
      <c r="F15" s="40" t="n">
        <f aca="false">IF(10&lt;=Inputs!$C$10,FV(Inputs!$C$15,10,-Inputs!$C$6,0,0),"")</f>
        <v>724328.123295493</v>
      </c>
      <c r="G15" s="40" t="n">
        <f aca="false">IF(10&lt;=Inputs!$C$10,FV(Inputs!$C$16,10,-Inputs!$C$6,0,0),"")</f>
        <v>796871.230050001</v>
      </c>
    </row>
    <row r="16" customFormat="false" ht="15" hidden="false" customHeight="false" outlineLevel="0" collapsed="false">
      <c r="B16" s="37" t="n">
        <f aca="false">IF(11&lt;=Inputs!$C$10,11,"")</f>
        <v>11</v>
      </c>
      <c r="C16" s="29" t="n">
        <f aca="false">IF(11&lt;=Inputs!$C$10,Inputs!$C$6,"")</f>
        <v>50000</v>
      </c>
      <c r="D16" s="38" t="n">
        <f aca="false">IF(11&lt;=Inputs!$C$10,Inputs!$C$6*11,"")</f>
        <v>550000</v>
      </c>
      <c r="E16" s="38" t="n">
        <f aca="false">IF(11&lt;=Inputs!$C$10,FV(Inputs!$C$14,11,-Inputs!$C$6,0,0),"")</f>
        <v>748582.131946188</v>
      </c>
      <c r="F16" s="38" t="n">
        <f aca="false">IF(11&lt;=Inputs!$C$10,FV(Inputs!$C$15,11,-Inputs!$C$6,0,0),"")</f>
        <v>832274.373159132</v>
      </c>
      <c r="G16" s="38" t="n">
        <f aca="false">IF(11&lt;=Inputs!$C$10,FV(Inputs!$C$16,11,-Inputs!$C$6,0,0),"")</f>
        <v>926558.353055001</v>
      </c>
    </row>
    <row r="17" customFormat="false" ht="15" hidden="false" customHeight="false" outlineLevel="0" collapsed="false">
      <c r="B17" s="39" t="n">
        <f aca="false">IF(12&lt;=Inputs!$C$10,12,"")</f>
        <v>12</v>
      </c>
      <c r="C17" s="27" t="n">
        <f aca="false">IF(12&lt;=Inputs!$C$10,Inputs!$C$6,"")</f>
        <v>50000</v>
      </c>
      <c r="D17" s="40" t="n">
        <f aca="false">IF(12&lt;=Inputs!$C$10,Inputs!$C$6*12,"")</f>
        <v>600000</v>
      </c>
      <c r="E17" s="40" t="n">
        <f aca="false">IF(12&lt;=Inputs!$C$10,FV(Inputs!$C$14,12,-Inputs!$C$6,0,0),"")</f>
        <v>843497.059862959</v>
      </c>
      <c r="F17" s="40" t="n">
        <f aca="false">IF(12&lt;=Inputs!$C$10,FV(Inputs!$C$15,12,-Inputs!$C$6,0,0),"")</f>
        <v>948856.323011863</v>
      </c>
      <c r="G17" s="40" t="n">
        <f aca="false">IF(12&lt;=Inputs!$C$10,FV(Inputs!$C$16,12,-Inputs!$C$6,0,0),"")</f>
        <v>1069214.1883605</v>
      </c>
    </row>
    <row r="18" customFormat="false" ht="15" hidden="false" customHeight="false" outlineLevel="0" collapsed="false">
      <c r="B18" s="37" t="n">
        <f aca="false">IF(13&lt;=Inputs!$C$10,13,"")</f>
        <v>13</v>
      </c>
      <c r="C18" s="29" t="n">
        <f aca="false">IF(13&lt;=Inputs!$C$10,Inputs!$C$6,"")</f>
        <v>50000</v>
      </c>
      <c r="D18" s="38" t="n">
        <f aca="false">IF(13&lt;=Inputs!$C$10,Inputs!$C$6*13,"")</f>
        <v>650000</v>
      </c>
      <c r="E18" s="38" t="n">
        <f aca="false">IF(13&lt;=Inputs!$C$10,FV(Inputs!$C$14,13,-Inputs!$C$6,0,0),"")</f>
        <v>944106.883454737</v>
      </c>
      <c r="F18" s="38" t="n">
        <f aca="false">IF(13&lt;=Inputs!$C$10,FV(Inputs!$C$15,13,-Inputs!$C$6,0,0),"")</f>
        <v>1074764.82885281</v>
      </c>
      <c r="G18" s="38" t="n">
        <f aca="false">IF(13&lt;=Inputs!$C$10,FV(Inputs!$C$16,13,-Inputs!$C$6,0,0),"")</f>
        <v>1226135.60719655</v>
      </c>
    </row>
    <row r="19" customFormat="false" ht="15" hidden="false" customHeight="false" outlineLevel="0" collapsed="false">
      <c r="B19" s="39" t="n">
        <f aca="false">IF(14&lt;=Inputs!$C$10,14,"")</f>
        <v>14</v>
      </c>
      <c r="C19" s="27" t="n">
        <f aca="false">IF(14&lt;=Inputs!$C$10,Inputs!$C$6,"")</f>
        <v>50000</v>
      </c>
      <c r="D19" s="40" t="n">
        <f aca="false">IF(14&lt;=Inputs!$C$10,Inputs!$C$6*14,"")</f>
        <v>700000</v>
      </c>
      <c r="E19" s="40" t="n">
        <f aca="false">IF(14&lt;=Inputs!$C$10,FV(Inputs!$C$14,14,-Inputs!$C$6,0,0),"")</f>
        <v>1050753.29646202</v>
      </c>
      <c r="F19" s="40" t="n">
        <f aca="false">IF(14&lt;=Inputs!$C$10,FV(Inputs!$C$15,14,-Inputs!$C$6,0,0),"")</f>
        <v>1210746.01516104</v>
      </c>
      <c r="G19" s="40" t="n">
        <f aca="false">IF(14&lt;=Inputs!$C$10,FV(Inputs!$C$16,14,-Inputs!$C$6,0,0),"")</f>
        <v>1398749.16791621</v>
      </c>
    </row>
    <row r="20" customFormat="false" ht="15" hidden="false" customHeight="false" outlineLevel="0" collapsed="false">
      <c r="B20" s="37" t="n">
        <f aca="false">IF(15&lt;=Inputs!$C$10,15,"")</f>
        <v>15</v>
      </c>
      <c r="C20" s="29" t="n">
        <f aca="false">IF(15&lt;=Inputs!$C$10,Inputs!$C$6,"")</f>
        <v>50000</v>
      </c>
      <c r="D20" s="38" t="n">
        <f aca="false">IF(15&lt;=Inputs!$C$10,Inputs!$C$6*15,"")</f>
        <v>750000</v>
      </c>
      <c r="E20" s="38" t="n">
        <f aca="false">IF(15&lt;=Inputs!$C$10,FV(Inputs!$C$14,15,-Inputs!$C$6,0,0),"")</f>
        <v>1163798.49424974</v>
      </c>
      <c r="F20" s="38" t="n">
        <f aca="false">IF(15&lt;=Inputs!$C$10,FV(Inputs!$C$15,15,-Inputs!$C$6,0,0),"")</f>
        <v>1357605.69637392</v>
      </c>
      <c r="G20" s="38" t="n">
        <f aca="false">IF(15&lt;=Inputs!$C$10,FV(Inputs!$C$16,15,-Inputs!$C$6,0,0),"")</f>
        <v>1588624.08470783</v>
      </c>
    </row>
    <row r="21" customFormat="false" ht="15" hidden="false" customHeight="false" outlineLevel="0" collapsed="false">
      <c r="B21" s="39" t="str">
        <f aca="false">IF(16&lt;=Inputs!$C$10,16,"")</f>
        <v/>
      </c>
      <c r="C21" s="27" t="str">
        <f aca="false">IF(16&lt;=Inputs!$C$10,Inputs!$C$6,"")</f>
        <v/>
      </c>
      <c r="D21" s="40" t="str">
        <f aca="false">IF(16&lt;=Inputs!$C$10,Inputs!$C$6*16,"")</f>
        <v/>
      </c>
      <c r="E21" s="40" t="str">
        <f aca="false">IF(16&lt;=Inputs!$C$10,FV(Inputs!$C$14,16,-Inputs!$C$6,0,0),"")</f>
        <v/>
      </c>
      <c r="F21" s="40" t="str">
        <f aca="false">IF(16&lt;=Inputs!$C$10,FV(Inputs!$C$15,16,-Inputs!$C$6,0,0),"")</f>
        <v/>
      </c>
      <c r="G21" s="40" t="str">
        <f aca="false">IF(16&lt;=Inputs!$C$10,FV(Inputs!$C$16,16,-Inputs!$C$6,0,0),"")</f>
        <v/>
      </c>
    </row>
    <row r="22" customFormat="false" ht="15" hidden="false" customHeight="false" outlineLevel="0" collapsed="false">
      <c r="B22" s="37" t="str">
        <f aca="false">IF(17&lt;=Inputs!$C$10,17,"")</f>
        <v/>
      </c>
      <c r="C22" s="29" t="str">
        <f aca="false">IF(17&lt;=Inputs!$C$10,Inputs!$C$6,"")</f>
        <v/>
      </c>
      <c r="D22" s="38" t="str">
        <f aca="false">IF(17&lt;=Inputs!$C$10,Inputs!$C$6*17,"")</f>
        <v/>
      </c>
      <c r="E22" s="38" t="str">
        <f aca="false">IF(17&lt;=Inputs!$C$10,FV(Inputs!$C$14,17,-Inputs!$C$6,0,0),"")</f>
        <v/>
      </c>
      <c r="F22" s="38" t="str">
        <f aca="false">IF(17&lt;=Inputs!$C$10,FV(Inputs!$C$15,17,-Inputs!$C$6,0,0),"")</f>
        <v/>
      </c>
      <c r="G22" s="38" t="str">
        <f aca="false">IF(17&lt;=Inputs!$C$10,FV(Inputs!$C$16,17,-Inputs!$C$6,0,0),"")</f>
        <v/>
      </c>
    </row>
    <row r="23" customFormat="false" ht="15" hidden="false" customHeight="false" outlineLevel="0" collapsed="false">
      <c r="B23" s="39" t="str">
        <f aca="false">IF(18&lt;=Inputs!$C$10,18,"")</f>
        <v/>
      </c>
      <c r="C23" s="27" t="str">
        <f aca="false">IF(18&lt;=Inputs!$C$10,Inputs!$C$6,"")</f>
        <v/>
      </c>
      <c r="D23" s="40" t="str">
        <f aca="false">IF(18&lt;=Inputs!$C$10,Inputs!$C$6*18,"")</f>
        <v/>
      </c>
      <c r="E23" s="40" t="str">
        <f aca="false">IF(18&lt;=Inputs!$C$10,FV(Inputs!$C$14,18,-Inputs!$C$6,0,0),"")</f>
        <v/>
      </c>
      <c r="F23" s="40" t="str">
        <f aca="false">IF(18&lt;=Inputs!$C$10,FV(Inputs!$C$15,18,-Inputs!$C$6,0,0),"")</f>
        <v/>
      </c>
      <c r="G23" s="40" t="str">
        <f aca="false">IF(18&lt;=Inputs!$C$10,FV(Inputs!$C$16,18,-Inputs!$C$6,0,0),"")</f>
        <v/>
      </c>
    </row>
    <row r="24" customFormat="false" ht="15" hidden="false" customHeight="false" outlineLevel="0" collapsed="false">
      <c r="B24" s="37" t="str">
        <f aca="false">IF(19&lt;=Inputs!$C$10,19,"")</f>
        <v/>
      </c>
      <c r="C24" s="29" t="str">
        <f aca="false">IF(19&lt;=Inputs!$C$10,Inputs!$C$6,"")</f>
        <v/>
      </c>
      <c r="D24" s="38" t="str">
        <f aca="false">IF(19&lt;=Inputs!$C$10,Inputs!$C$6*19,"")</f>
        <v/>
      </c>
      <c r="E24" s="38" t="str">
        <f aca="false">IF(19&lt;=Inputs!$C$10,FV(Inputs!$C$14,19,-Inputs!$C$6,0,0),"")</f>
        <v/>
      </c>
      <c r="F24" s="38" t="str">
        <f aca="false">IF(19&lt;=Inputs!$C$10,FV(Inputs!$C$15,19,-Inputs!$C$6,0,0),"")</f>
        <v/>
      </c>
      <c r="G24" s="38" t="str">
        <f aca="false">IF(19&lt;=Inputs!$C$10,FV(Inputs!$C$16,19,-Inputs!$C$6,0,0),"")</f>
        <v/>
      </c>
    </row>
    <row r="25" customFormat="false" ht="15" hidden="false" customHeight="false" outlineLevel="0" collapsed="false">
      <c r="B25" s="39" t="str">
        <f aca="false">IF(20&lt;=Inputs!$C$10,20,"")</f>
        <v/>
      </c>
      <c r="C25" s="27" t="str">
        <f aca="false">IF(20&lt;=Inputs!$C$10,Inputs!$C$6,"")</f>
        <v/>
      </c>
      <c r="D25" s="40" t="str">
        <f aca="false">IF(20&lt;=Inputs!$C$10,Inputs!$C$6*20,"")</f>
        <v/>
      </c>
      <c r="E25" s="40" t="str">
        <f aca="false">IF(20&lt;=Inputs!$C$10,FV(Inputs!$C$14,20,-Inputs!$C$6,0,0),"")</f>
        <v/>
      </c>
      <c r="F25" s="40" t="str">
        <f aca="false">IF(20&lt;=Inputs!$C$10,FV(Inputs!$C$15,20,-Inputs!$C$6,0,0),"")</f>
        <v/>
      </c>
      <c r="G25" s="40" t="str">
        <f aca="false">IF(20&lt;=Inputs!$C$10,FV(Inputs!$C$16,20,-Inputs!$C$6,0,0),"")</f>
        <v/>
      </c>
    </row>
    <row r="26" customFormat="false" ht="15" hidden="false" customHeight="false" outlineLevel="0" collapsed="false">
      <c r="B26" s="37" t="str">
        <f aca="false">IF(21&lt;=Inputs!$C$10,21,"")</f>
        <v/>
      </c>
      <c r="C26" s="29" t="str">
        <f aca="false">IF(21&lt;=Inputs!$C$10,Inputs!$C$6,"")</f>
        <v/>
      </c>
      <c r="D26" s="38" t="str">
        <f aca="false">IF(21&lt;=Inputs!$C$10,Inputs!$C$6*21,"")</f>
        <v/>
      </c>
      <c r="E26" s="38" t="str">
        <f aca="false">IF(21&lt;=Inputs!$C$10,FV(Inputs!$C$14,21,-Inputs!$C$6,0,0),"")</f>
        <v/>
      </c>
      <c r="F26" s="38" t="str">
        <f aca="false">IF(21&lt;=Inputs!$C$10,FV(Inputs!$C$15,21,-Inputs!$C$6,0,0),"")</f>
        <v/>
      </c>
      <c r="G26" s="38" t="str">
        <f aca="false">IF(21&lt;=Inputs!$C$10,FV(Inputs!$C$16,21,-Inputs!$C$6,0,0),"")</f>
        <v/>
      </c>
    </row>
    <row r="27" customFormat="false" ht="15" hidden="false" customHeight="false" outlineLevel="0" collapsed="false">
      <c r="B27" s="39" t="str">
        <f aca="false">IF(22&lt;=Inputs!$C$10,22,"")</f>
        <v/>
      </c>
      <c r="C27" s="27" t="str">
        <f aca="false">IF(22&lt;=Inputs!$C$10,Inputs!$C$6,"")</f>
        <v/>
      </c>
      <c r="D27" s="40" t="str">
        <f aca="false">IF(22&lt;=Inputs!$C$10,Inputs!$C$6*22,"")</f>
        <v/>
      </c>
      <c r="E27" s="40" t="str">
        <f aca="false">IF(22&lt;=Inputs!$C$10,FV(Inputs!$C$14,22,-Inputs!$C$6,0,0),"")</f>
        <v/>
      </c>
      <c r="F27" s="40" t="str">
        <f aca="false">IF(22&lt;=Inputs!$C$10,FV(Inputs!$C$15,22,-Inputs!$C$6,0,0),"")</f>
        <v/>
      </c>
      <c r="G27" s="40" t="str">
        <f aca="false">IF(22&lt;=Inputs!$C$10,FV(Inputs!$C$16,22,-Inputs!$C$6,0,0),"")</f>
        <v/>
      </c>
    </row>
    <row r="28" customFormat="false" ht="15" hidden="false" customHeight="false" outlineLevel="0" collapsed="false">
      <c r="B28" s="37" t="str">
        <f aca="false">IF(23&lt;=Inputs!$C$10,23,"")</f>
        <v/>
      </c>
      <c r="C28" s="29" t="str">
        <f aca="false">IF(23&lt;=Inputs!$C$10,Inputs!$C$6,"")</f>
        <v/>
      </c>
      <c r="D28" s="38" t="str">
        <f aca="false">IF(23&lt;=Inputs!$C$10,Inputs!$C$6*23,"")</f>
        <v/>
      </c>
      <c r="E28" s="38" t="str">
        <f aca="false">IF(23&lt;=Inputs!$C$10,FV(Inputs!$C$14,23,-Inputs!$C$6,0,0),"")</f>
        <v/>
      </c>
      <c r="F28" s="38" t="str">
        <f aca="false">IF(23&lt;=Inputs!$C$10,FV(Inputs!$C$15,23,-Inputs!$C$6,0,0),"")</f>
        <v/>
      </c>
      <c r="G28" s="38" t="str">
        <f aca="false">IF(23&lt;=Inputs!$C$10,FV(Inputs!$C$16,23,-Inputs!$C$6,0,0),"")</f>
        <v/>
      </c>
    </row>
    <row r="29" customFormat="false" ht="15" hidden="false" customHeight="false" outlineLevel="0" collapsed="false">
      <c r="B29" s="39" t="str">
        <f aca="false">IF(24&lt;=Inputs!$C$10,24,"")</f>
        <v/>
      </c>
      <c r="C29" s="27" t="str">
        <f aca="false">IF(24&lt;=Inputs!$C$10,Inputs!$C$6,"")</f>
        <v/>
      </c>
      <c r="D29" s="40" t="str">
        <f aca="false">IF(24&lt;=Inputs!$C$10,Inputs!$C$6*24,"")</f>
        <v/>
      </c>
      <c r="E29" s="40" t="str">
        <f aca="false">IF(24&lt;=Inputs!$C$10,FV(Inputs!$C$14,24,-Inputs!$C$6,0,0),"")</f>
        <v/>
      </c>
      <c r="F29" s="40" t="str">
        <f aca="false">IF(24&lt;=Inputs!$C$10,FV(Inputs!$C$15,24,-Inputs!$C$6,0,0),"")</f>
        <v/>
      </c>
      <c r="G29" s="40" t="str">
        <f aca="false">IF(24&lt;=Inputs!$C$10,FV(Inputs!$C$16,24,-Inputs!$C$6,0,0),"")</f>
        <v/>
      </c>
    </row>
    <row r="30" customFormat="false" ht="15" hidden="false" customHeight="false" outlineLevel="0" collapsed="false">
      <c r="B30" s="37" t="str">
        <f aca="false">IF(25&lt;=Inputs!$C$10,25,"")</f>
        <v/>
      </c>
      <c r="C30" s="29" t="str">
        <f aca="false">IF(25&lt;=Inputs!$C$10,Inputs!$C$6,"")</f>
        <v/>
      </c>
      <c r="D30" s="38" t="str">
        <f aca="false">IF(25&lt;=Inputs!$C$10,Inputs!$C$6*25,"")</f>
        <v/>
      </c>
      <c r="E30" s="38" t="str">
        <f aca="false">IF(25&lt;=Inputs!$C$10,FV(Inputs!$C$14,25,-Inputs!$C$6,0,0),"")</f>
        <v/>
      </c>
      <c r="F30" s="38" t="str">
        <f aca="false">IF(25&lt;=Inputs!$C$10,FV(Inputs!$C$15,25,-Inputs!$C$6,0,0),"")</f>
        <v/>
      </c>
      <c r="G30" s="38" t="str">
        <f aca="false">IF(25&lt;=Inputs!$C$10,FV(Inputs!$C$16,25,-Inputs!$C$6,0,0),"")</f>
        <v/>
      </c>
    </row>
    <row r="31" customFormat="false" ht="15" hidden="false" customHeight="false" outlineLevel="0" collapsed="false">
      <c r="B31" s="39" t="str">
        <f aca="false">IF(26&lt;=Inputs!$C$10,26,"")</f>
        <v/>
      </c>
      <c r="C31" s="27" t="str">
        <f aca="false">IF(26&lt;=Inputs!$C$10,Inputs!$C$6,"")</f>
        <v/>
      </c>
      <c r="D31" s="40" t="str">
        <f aca="false">IF(26&lt;=Inputs!$C$10,Inputs!$C$6*26,"")</f>
        <v/>
      </c>
      <c r="E31" s="40" t="str">
        <f aca="false">IF(26&lt;=Inputs!$C$10,FV(Inputs!$C$14,26,-Inputs!$C$6,0,0),"")</f>
        <v/>
      </c>
      <c r="F31" s="40" t="str">
        <f aca="false">IF(26&lt;=Inputs!$C$10,FV(Inputs!$C$15,26,-Inputs!$C$6,0,0),"")</f>
        <v/>
      </c>
      <c r="G31" s="40" t="str">
        <f aca="false">IF(26&lt;=Inputs!$C$10,FV(Inputs!$C$16,26,-Inputs!$C$6,0,0),"")</f>
        <v/>
      </c>
    </row>
    <row r="32" customFormat="false" ht="15" hidden="false" customHeight="false" outlineLevel="0" collapsed="false">
      <c r="B32" s="37" t="str">
        <f aca="false">IF(27&lt;=Inputs!$C$10,27,"")</f>
        <v/>
      </c>
      <c r="C32" s="29" t="str">
        <f aca="false">IF(27&lt;=Inputs!$C$10,Inputs!$C$6,"")</f>
        <v/>
      </c>
      <c r="D32" s="38" t="str">
        <f aca="false">IF(27&lt;=Inputs!$C$10,Inputs!$C$6*27,"")</f>
        <v/>
      </c>
      <c r="E32" s="38" t="str">
        <f aca="false">IF(27&lt;=Inputs!$C$10,FV(Inputs!$C$14,27,-Inputs!$C$6,0,0),"")</f>
        <v/>
      </c>
      <c r="F32" s="38" t="str">
        <f aca="false">IF(27&lt;=Inputs!$C$10,FV(Inputs!$C$15,27,-Inputs!$C$6,0,0),"")</f>
        <v/>
      </c>
      <c r="G32" s="38" t="str">
        <f aca="false">IF(27&lt;=Inputs!$C$10,FV(Inputs!$C$16,27,-Inputs!$C$6,0,0),"")</f>
        <v/>
      </c>
    </row>
    <row r="33" customFormat="false" ht="15" hidden="false" customHeight="false" outlineLevel="0" collapsed="false">
      <c r="B33" s="39" t="str">
        <f aca="false">IF(28&lt;=Inputs!$C$10,28,"")</f>
        <v/>
      </c>
      <c r="C33" s="27" t="str">
        <f aca="false">IF(28&lt;=Inputs!$C$10,Inputs!$C$6,"")</f>
        <v/>
      </c>
      <c r="D33" s="40" t="str">
        <f aca="false">IF(28&lt;=Inputs!$C$10,Inputs!$C$6*28,"")</f>
        <v/>
      </c>
      <c r="E33" s="40" t="str">
        <f aca="false">IF(28&lt;=Inputs!$C$10,FV(Inputs!$C$14,28,-Inputs!$C$6,0,0),"")</f>
        <v/>
      </c>
      <c r="F33" s="40" t="str">
        <f aca="false">IF(28&lt;=Inputs!$C$10,FV(Inputs!$C$15,28,-Inputs!$C$6,0,0),"")</f>
        <v/>
      </c>
      <c r="G33" s="40" t="str">
        <f aca="false">IF(28&lt;=Inputs!$C$10,FV(Inputs!$C$16,28,-Inputs!$C$6,0,0),"")</f>
        <v/>
      </c>
    </row>
    <row r="34" customFormat="false" ht="15" hidden="false" customHeight="false" outlineLevel="0" collapsed="false">
      <c r="B34" s="37" t="str">
        <f aca="false">IF(29&lt;=Inputs!$C$10,29,"")</f>
        <v/>
      </c>
      <c r="C34" s="29" t="str">
        <f aca="false">IF(29&lt;=Inputs!$C$10,Inputs!$C$6,"")</f>
        <v/>
      </c>
      <c r="D34" s="38" t="str">
        <f aca="false">IF(29&lt;=Inputs!$C$10,Inputs!$C$6*29,"")</f>
        <v/>
      </c>
      <c r="E34" s="38" t="str">
        <f aca="false">IF(29&lt;=Inputs!$C$10,FV(Inputs!$C$14,29,-Inputs!$C$6,0,0),"")</f>
        <v/>
      </c>
      <c r="F34" s="38" t="str">
        <f aca="false">IF(29&lt;=Inputs!$C$10,FV(Inputs!$C$15,29,-Inputs!$C$6,0,0),"")</f>
        <v/>
      </c>
      <c r="G34" s="38" t="str">
        <f aca="false">IF(29&lt;=Inputs!$C$10,FV(Inputs!$C$16,29,-Inputs!$C$6,0,0),"")</f>
        <v/>
      </c>
    </row>
    <row r="35" customFormat="false" ht="15" hidden="false" customHeight="false" outlineLevel="0" collapsed="false">
      <c r="B35" s="39" t="str">
        <f aca="false">IF(30&lt;=Inputs!$C$10,30,"")</f>
        <v/>
      </c>
      <c r="C35" s="27" t="str">
        <f aca="false">IF(30&lt;=Inputs!$C$10,Inputs!$C$6,"")</f>
        <v/>
      </c>
      <c r="D35" s="40" t="str">
        <f aca="false">IF(30&lt;=Inputs!$C$10,Inputs!$C$6*30,"")</f>
        <v/>
      </c>
      <c r="E35" s="40" t="str">
        <f aca="false">IF(30&lt;=Inputs!$C$10,FV(Inputs!$C$14,30,-Inputs!$C$6,0,0),"")</f>
        <v/>
      </c>
      <c r="F35" s="40" t="str">
        <f aca="false">IF(30&lt;=Inputs!$C$10,FV(Inputs!$C$15,30,-Inputs!$C$6,0,0),"")</f>
        <v/>
      </c>
      <c r="G35" s="40" t="str">
        <f aca="false">IF(30&lt;=Inputs!$C$10,FV(Inputs!$C$16,30,-Inputs!$C$6,0,0),"")</f>
        <v/>
      </c>
    </row>
    <row r="37" customFormat="false" ht="31.5" hidden="false" customHeight="true" outlineLevel="0" collapsed="false">
      <c r="B37" s="35" t="s">
        <v>89</v>
      </c>
      <c r="C37" s="35"/>
      <c r="D37" s="35"/>
      <c r="E37" s="35"/>
      <c r="F37" s="35"/>
      <c r="G37" s="35"/>
    </row>
  </sheetData>
  <mergeCells count="3">
    <mergeCell ref="B2:G2"/>
    <mergeCell ref="B3:G3"/>
    <mergeCell ref="B37:G3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3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6"/>
    <col collapsed="false" customWidth="true" hidden="false" outlineLevel="0" max="5" min="3" style="0" width="20"/>
    <col collapsed="false" customWidth="true" hidden="false" outlineLevel="0" max="6" min="6" style="0" width="3"/>
  </cols>
  <sheetData>
    <row r="2" customFormat="false" ht="31.5" hidden="false" customHeight="true" outlineLevel="0" collapsed="false">
      <c r="B2" s="13" t="s">
        <v>24</v>
      </c>
      <c r="C2" s="13"/>
      <c r="D2" s="13"/>
      <c r="E2" s="13"/>
    </row>
    <row r="3" customFormat="false" ht="15" hidden="false" customHeight="false" outlineLevel="0" collapsed="false">
      <c r="B3" s="14" t="s">
        <v>90</v>
      </c>
      <c r="C3" s="14"/>
      <c r="D3" s="14"/>
      <c r="E3" s="14"/>
    </row>
    <row r="5" customFormat="false" ht="19.5" hidden="false" customHeight="true" outlineLevel="0" collapsed="false">
      <c r="B5" s="16" t="s">
        <v>91</v>
      </c>
      <c r="C5" s="16"/>
      <c r="D5" s="16"/>
      <c r="E5" s="16"/>
    </row>
    <row r="6" customFormat="false" ht="15" hidden="false" customHeight="false" outlineLevel="0" collapsed="false">
      <c r="B6" s="41" t="s">
        <v>69</v>
      </c>
      <c r="C6" s="41" t="s">
        <v>92</v>
      </c>
      <c r="D6" s="41" t="s">
        <v>93</v>
      </c>
      <c r="E6" s="41" t="s">
        <v>94</v>
      </c>
    </row>
    <row r="7" customFormat="false" ht="15" hidden="false" customHeight="false" outlineLevel="0" collapsed="false">
      <c r="B7" s="42" t="n">
        <v>25000</v>
      </c>
      <c r="C7" s="38" t="n">
        <f aca="false">FV(Inputs!$C14,Inputs!$C$10,-25000,0,0)</f>
        <v>581899.247124872</v>
      </c>
      <c r="D7" s="38" t="n">
        <f aca="false">FV(Inputs!$C15,Inputs!$C$10,-25000,0,0)</f>
        <v>678802.84818696</v>
      </c>
      <c r="E7" s="38" t="n">
        <f aca="false">FV(Inputs!$C16,Inputs!$C$10,-25000,0,0)</f>
        <v>794312.042353914</v>
      </c>
    </row>
    <row r="8" customFormat="false" ht="15" hidden="false" customHeight="false" outlineLevel="0" collapsed="false">
      <c r="B8" s="43" t="n">
        <v>50000</v>
      </c>
      <c r="C8" s="40" t="n">
        <f aca="false">FV(Inputs!$C14,Inputs!$C$10,-50000,0,0)</f>
        <v>1163798.49424974</v>
      </c>
      <c r="D8" s="40" t="n">
        <f aca="false">FV(Inputs!$C15,Inputs!$C$10,-50000,0,0)</f>
        <v>1357605.69637392</v>
      </c>
      <c r="E8" s="40" t="n">
        <f aca="false">FV(Inputs!$C16,Inputs!$C$10,-50000,0,0)</f>
        <v>1588624.08470783</v>
      </c>
    </row>
    <row r="9" customFormat="false" ht="15" hidden="false" customHeight="false" outlineLevel="0" collapsed="false">
      <c r="B9" s="42" t="n">
        <v>75000</v>
      </c>
      <c r="C9" s="38" t="n">
        <f aca="false">FV(Inputs!$C14,Inputs!$C$10,-75000,0,0)</f>
        <v>1745697.74137461</v>
      </c>
      <c r="D9" s="38" t="n">
        <f aca="false">FV(Inputs!$C15,Inputs!$C$10,-75000,0,0)</f>
        <v>2036408.54456088</v>
      </c>
      <c r="E9" s="38" t="n">
        <f aca="false">FV(Inputs!$C16,Inputs!$C$10,-75000,0,0)</f>
        <v>2382936.12706174</v>
      </c>
    </row>
    <row r="10" customFormat="false" ht="15" hidden="false" customHeight="false" outlineLevel="0" collapsed="false">
      <c r="B10" s="43" t="n">
        <v>100000</v>
      </c>
      <c r="C10" s="40" t="n">
        <f aca="false">FV(Inputs!$C14,Inputs!$C$10,-100000,0,0)</f>
        <v>2327596.98849949</v>
      </c>
      <c r="D10" s="40" t="n">
        <f aca="false">FV(Inputs!$C15,Inputs!$C$10,-100000,0,0)</f>
        <v>2715211.39274784</v>
      </c>
      <c r="E10" s="40" t="n">
        <f aca="false">FV(Inputs!$C16,Inputs!$C$10,-100000,0,0)</f>
        <v>3177248.16941566</v>
      </c>
    </row>
    <row r="11" customFormat="false" ht="15" hidden="false" customHeight="false" outlineLevel="0" collapsed="false">
      <c r="B11" s="42" t="n">
        <v>150000</v>
      </c>
      <c r="C11" s="38" t="n">
        <f aca="false">FV(Inputs!$C14,Inputs!$C$10,-150000,0,0)</f>
        <v>3491395.48274923</v>
      </c>
      <c r="D11" s="38" t="n">
        <f aca="false">FV(Inputs!$C15,Inputs!$C$10,-150000,0,0)</f>
        <v>4072817.08912176</v>
      </c>
      <c r="E11" s="38" t="n">
        <f aca="false">FV(Inputs!$C16,Inputs!$C$10,-150000,0,0)</f>
        <v>4765872.25412349</v>
      </c>
    </row>
    <row r="14" customFormat="false" ht="15" hidden="false" customHeight="false" outlineLevel="0" collapsed="false">
      <c r="B14" s="16" t="s">
        <v>95</v>
      </c>
      <c r="C14" s="16"/>
      <c r="D14" s="16"/>
      <c r="E14" s="16"/>
    </row>
    <row r="15" customFormat="false" ht="15" hidden="false" customHeight="false" outlineLevel="0" collapsed="false">
      <c r="B15" s="41" t="s">
        <v>55</v>
      </c>
      <c r="C15" s="41" t="s">
        <v>92</v>
      </c>
      <c r="D15" s="41" t="s">
        <v>93</v>
      </c>
      <c r="E15" s="41" t="s">
        <v>94</v>
      </c>
    </row>
    <row r="16" customFormat="false" ht="15" hidden="false" customHeight="false" outlineLevel="0" collapsed="false">
      <c r="B16" s="44" t="n">
        <v>5</v>
      </c>
      <c r="C16" s="40" t="n">
        <f aca="false">FV(Inputs!$C14,5,-Inputs!$C$6,0,0)</f>
        <v>281854.648</v>
      </c>
      <c r="D16" s="40" t="n">
        <f aca="false">FV(Inputs!$C15,5,-Inputs!$C$6,0,0)</f>
        <v>293330.048</v>
      </c>
      <c r="E16" s="40" t="n">
        <f aca="false">FV(Inputs!$C16,5,-Inputs!$C$6,0,0)</f>
        <v>305255</v>
      </c>
    </row>
    <row r="17" customFormat="false" ht="15" hidden="false" customHeight="false" outlineLevel="0" collapsed="false">
      <c r="B17" s="45" t="n">
        <v>10</v>
      </c>
      <c r="C17" s="38" t="n">
        <f aca="false">FV(Inputs!$C14,10,-Inputs!$C$6,0,0)</f>
        <v>659039.747119046</v>
      </c>
      <c r="D17" s="38" t="n">
        <f aca="false">FV(Inputs!$C15,10,-Inputs!$C$6,0,0)</f>
        <v>724328.123295493</v>
      </c>
      <c r="E17" s="38" t="n">
        <f aca="false">FV(Inputs!$C16,10,-Inputs!$C$6,0,0)</f>
        <v>796871.230050001</v>
      </c>
    </row>
    <row r="18" customFormat="false" ht="15" hidden="false" customHeight="false" outlineLevel="0" collapsed="false">
      <c r="B18" s="44" t="n">
        <v>15</v>
      </c>
      <c r="C18" s="40" t="n">
        <f aca="false">FV(Inputs!$C14,15,-Inputs!$C$6,0,0)</f>
        <v>1163798.49424974</v>
      </c>
      <c r="D18" s="40" t="n">
        <f aca="false">FV(Inputs!$C15,15,-Inputs!$C$6,0,0)</f>
        <v>1357605.69637392</v>
      </c>
      <c r="E18" s="40" t="n">
        <f aca="false">FV(Inputs!$C16,15,-Inputs!$C$6,0,0)</f>
        <v>1588624.08470783</v>
      </c>
    </row>
    <row r="19" customFormat="false" ht="15" hidden="false" customHeight="false" outlineLevel="0" collapsed="false">
      <c r="B19" s="45" t="n">
        <v>18</v>
      </c>
      <c r="C19" s="38" t="n">
        <f aca="false">FV(Inputs!$C14,18,-Inputs!$C$6,0,0)</f>
        <v>1545282.62742735</v>
      </c>
      <c r="D19" s="38" t="n">
        <f aca="false">FV(Inputs!$C15,18,-Inputs!$C$6,0,0)</f>
        <v>1872512.18699058</v>
      </c>
      <c r="E19" s="38" t="n">
        <f aca="false">FV(Inputs!$C16,18,-Inputs!$C$6,0,0)</f>
        <v>2279958.65674612</v>
      </c>
    </row>
    <row r="20" customFormat="false" ht="15" hidden="false" customHeight="false" outlineLevel="0" collapsed="false">
      <c r="B20" s="44" t="n">
        <v>20</v>
      </c>
      <c r="C20" s="40" t="n">
        <f aca="false">FV(Inputs!$C14,20,-Inputs!$C$6,0,0)</f>
        <v>1839279.56017737</v>
      </c>
      <c r="D20" s="40" t="n">
        <f aca="false">FV(Inputs!$C15,20,-Inputs!$C$6,0,0)</f>
        <v>2288098.21490582</v>
      </c>
      <c r="E20" s="40" t="n">
        <f aca="false">FV(Inputs!$C16,20,-Inputs!$C$6,0,0)</f>
        <v>2863749.97466281</v>
      </c>
    </row>
    <row r="21" customFormat="false" ht="15" hidden="false" customHeight="false" outlineLevel="0" collapsed="false">
      <c r="B21" s="45" t="n">
        <v>25</v>
      </c>
      <c r="C21" s="38" t="n">
        <f aca="false">FV(Inputs!$C14,25,-Inputs!$C$6,0,0)</f>
        <v>2743225.59978624</v>
      </c>
      <c r="D21" s="38" t="n">
        <f aca="false">FV(Inputs!$C15,25,-Inputs!$C$6,0,0)</f>
        <v>3655296.99763708</v>
      </c>
      <c r="E21" s="38" t="n">
        <f aca="false">FV(Inputs!$C16,25,-Inputs!$C$6,0,0)</f>
        <v>4917352.9716942</v>
      </c>
    </row>
    <row r="24" customFormat="false" ht="15" hidden="false" customHeight="false" outlineLevel="0" collapsed="false">
      <c r="B24" s="16" t="s">
        <v>96</v>
      </c>
      <c r="C24" s="16"/>
      <c r="D24" s="16"/>
      <c r="E24" s="16"/>
    </row>
    <row r="25" customFormat="false" ht="15" hidden="false" customHeight="false" outlineLevel="0" collapsed="false">
      <c r="B25" s="41" t="s">
        <v>97</v>
      </c>
      <c r="C25" s="41" t="s">
        <v>98</v>
      </c>
      <c r="D25" s="41" t="s">
        <v>99</v>
      </c>
      <c r="E25" s="41" t="s">
        <v>100</v>
      </c>
    </row>
    <row r="26" customFormat="false" ht="15" hidden="false" customHeight="false" outlineLevel="0" collapsed="false">
      <c r="B26" s="46" t="n">
        <v>0.04</v>
      </c>
      <c r="C26" s="27" t="n">
        <f aca="false">Inputs!$C$6*Inputs!$C$10</f>
        <v>750000</v>
      </c>
      <c r="D26" s="40" t="n">
        <f aca="false">FV(0.04,Inputs!$C$10,-Inputs!$C$6,0,0)</f>
        <v>1001179.38188365</v>
      </c>
      <c r="E26" s="47" t="n">
        <f aca="false">IF(Inputs!$C$6*Inputs!$C$10=0,"-",D26/(Inputs!$C$6*Inputs!$C$10))</f>
        <v>1.33490584251153</v>
      </c>
    </row>
    <row r="27" customFormat="false" ht="15" hidden="false" customHeight="false" outlineLevel="0" collapsed="false">
      <c r="B27" s="48" t="n">
        <v>0.06</v>
      </c>
      <c r="C27" s="29" t="n">
        <f aca="false">Inputs!$C$6*Inputs!$C$10</f>
        <v>750000</v>
      </c>
      <c r="D27" s="38" t="n">
        <f aca="false">FV(0.06,Inputs!$C$10,-Inputs!$C$6,0,0)</f>
        <v>1163798.49424974</v>
      </c>
      <c r="E27" s="49" t="n">
        <f aca="false">IF(Inputs!$C$6*Inputs!$C$10=0,"-",D27/(Inputs!$C$6*Inputs!$C$10))</f>
        <v>1.55173132566632</v>
      </c>
    </row>
    <row r="28" customFormat="false" ht="15" hidden="false" customHeight="false" outlineLevel="0" collapsed="false">
      <c r="B28" s="46" t="n">
        <v>0.08</v>
      </c>
      <c r="C28" s="27" t="n">
        <f aca="false">Inputs!$C$6*Inputs!$C$10</f>
        <v>750000</v>
      </c>
      <c r="D28" s="40" t="n">
        <f aca="false">FV(0.08,Inputs!$C$10,-Inputs!$C$6,0,0)</f>
        <v>1357605.69637392</v>
      </c>
      <c r="E28" s="47" t="n">
        <f aca="false">IF(Inputs!$C$6*Inputs!$C$10=0,"-",D28/(Inputs!$C$6*Inputs!$C$10))</f>
        <v>1.81014092849856</v>
      </c>
    </row>
    <row r="29" customFormat="false" ht="15" hidden="false" customHeight="false" outlineLevel="0" collapsed="false">
      <c r="B29" s="48" t="n">
        <v>0.1</v>
      </c>
      <c r="C29" s="29" t="n">
        <f aca="false">Inputs!$C$6*Inputs!$C$10</f>
        <v>750000</v>
      </c>
      <c r="D29" s="38" t="n">
        <f aca="false">FV(0.1,Inputs!$C$10,-Inputs!$C$6,0,0)</f>
        <v>1588624.08470783</v>
      </c>
      <c r="E29" s="49" t="n">
        <f aca="false">IF(Inputs!$C$6*Inputs!$C$10=0,"-",D29/(Inputs!$C$6*Inputs!$C$10))</f>
        <v>2.1181654462771</v>
      </c>
    </row>
    <row r="30" customFormat="false" ht="15" hidden="false" customHeight="false" outlineLevel="0" collapsed="false">
      <c r="B30" s="46" t="n">
        <v>0.12</v>
      </c>
      <c r="C30" s="27" t="n">
        <f aca="false">Inputs!$C$6*Inputs!$C$10</f>
        <v>750000</v>
      </c>
      <c r="D30" s="40" t="n">
        <f aca="false">FV(0.12,Inputs!$C$10,-Inputs!$C$6,0,0)</f>
        <v>1863985.73302377</v>
      </c>
      <c r="E30" s="47" t="n">
        <f aca="false">IF(Inputs!$C$6*Inputs!$C$10=0,"-",D30/(Inputs!$C$6*Inputs!$C$10))</f>
        <v>2.48531431069836</v>
      </c>
    </row>
    <row r="31" customFormat="false" ht="15" hidden="false" customHeight="false" outlineLevel="0" collapsed="false">
      <c r="B31" s="48" t="n">
        <v>0.14</v>
      </c>
      <c r="C31" s="29" t="n">
        <f aca="false">Inputs!$C$6*Inputs!$C$10</f>
        <v>750000</v>
      </c>
      <c r="D31" s="38" t="n">
        <f aca="false">FV(0.14,Inputs!$C$10,-Inputs!$C$6,0,0)</f>
        <v>2192120.70656714</v>
      </c>
      <c r="E31" s="49" t="n">
        <f aca="false">IF(Inputs!$C$6*Inputs!$C$10=0,"-",D31/(Inputs!$C$6*Inputs!$C$10))</f>
        <v>2.92282760875619</v>
      </c>
    </row>
    <row r="33" customFormat="false" ht="27.75" hidden="false" customHeight="true" outlineLevel="0" collapsed="false">
      <c r="B33" s="35" t="s">
        <v>101</v>
      </c>
      <c r="C33" s="35"/>
      <c r="D33" s="35"/>
      <c r="E33" s="35"/>
    </row>
  </sheetData>
  <mergeCells count="6">
    <mergeCell ref="B2:E2"/>
    <mergeCell ref="B3:E3"/>
    <mergeCell ref="B5:E5"/>
    <mergeCell ref="B14:E14"/>
    <mergeCell ref="B24:E24"/>
    <mergeCell ref="B33:E3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70"/>
    <col collapsed="false" customWidth="true" hidden="false" outlineLevel="0" max="3" min="3" style="0" width="3"/>
  </cols>
  <sheetData>
    <row r="2" customFormat="false" ht="31.5" hidden="false" customHeight="true" outlineLevel="0" collapsed="false">
      <c r="B2" s="50" t="s">
        <v>102</v>
      </c>
    </row>
    <row r="4" customFormat="false" ht="24" hidden="false" customHeight="true" outlineLevel="0" collapsed="false">
      <c r="B4" s="51" t="s">
        <v>103</v>
      </c>
    </row>
    <row r="5" customFormat="false" ht="19.5" hidden="false" customHeight="true" outlineLevel="0" collapsed="false">
      <c r="B5" s="11" t="s">
        <v>104</v>
      </c>
    </row>
    <row r="6" customFormat="false" ht="19.5" hidden="false" customHeight="true" outlineLevel="0" collapsed="false">
      <c r="B6" s="7" t="s">
        <v>105</v>
      </c>
    </row>
    <row r="7" customFormat="false" ht="19.5" hidden="false" customHeight="true" outlineLevel="0" collapsed="false">
      <c r="B7" s="11" t="s">
        <v>106</v>
      </c>
    </row>
    <row r="8" customFormat="false" ht="19.5" hidden="false" customHeight="true" outlineLevel="0" collapsed="false">
      <c r="B8" s="7" t="s">
        <v>107</v>
      </c>
    </row>
    <row r="9" customFormat="false" ht="27.75" hidden="false" customHeight="true" outlineLevel="0" collapsed="false">
      <c r="B9" s="51" t="s">
        <v>108</v>
      </c>
    </row>
    <row r="10" customFormat="false" ht="19.5" hidden="false" customHeight="true" outlineLevel="0" collapsed="false">
      <c r="B10" s="11" t="s">
        <v>109</v>
      </c>
    </row>
    <row r="11" customFormat="false" ht="19.5" hidden="false" customHeight="true" outlineLevel="0" collapsed="false">
      <c r="B11" s="7" t="s">
        <v>110</v>
      </c>
    </row>
    <row r="12" customFormat="false" ht="19.5" hidden="false" customHeight="true" outlineLevel="0" collapsed="false">
      <c r="B12" s="11" t="s">
        <v>111</v>
      </c>
    </row>
    <row r="13" customFormat="false" ht="24" hidden="false" customHeight="true" outlineLevel="0" collapsed="false">
      <c r="B13" s="52" t="s">
        <v>112</v>
      </c>
    </row>
    <row r="14" customFormat="false" ht="27.75" hidden="false" customHeight="true" outlineLevel="0" collapsed="false">
      <c r="B14" s="53" t="s">
        <v>113</v>
      </c>
    </row>
    <row r="15" customFormat="false" ht="36" hidden="false" customHeight="true" outlineLevel="0" collapsed="false">
      <c r="B15" s="52" t="s">
        <v>114</v>
      </c>
    </row>
    <row r="16" customFormat="false" ht="27.75" hidden="false" customHeight="true" outlineLevel="0" collapsed="false">
      <c r="B16" s="51" t="s">
        <v>115</v>
      </c>
    </row>
    <row r="17" customFormat="false" ht="19.5" hidden="false" customHeight="true" outlineLevel="0" collapsed="false">
      <c r="B17" s="8" t="s">
        <v>116</v>
      </c>
    </row>
    <row r="18" customFormat="false" ht="19.5" hidden="false" customHeight="true" outlineLevel="0" collapsed="false">
      <c r="B18" s="7" t="s">
        <v>117</v>
      </c>
    </row>
    <row r="19" customFormat="false" ht="19.5" hidden="false" customHeight="true" outlineLevel="0" collapsed="false">
      <c r="B19" s="8" t="s">
        <v>118</v>
      </c>
    </row>
    <row r="20" customFormat="false" ht="19.5" hidden="false" customHeight="true" outlineLevel="0" collapsed="false">
      <c r="B20" s="54" t="s">
        <v>119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2026-03-23T19:51:11Z</dcterms:created>
  <dc:creator>openpyxl</dc:creator>
  <dc:description/>
  <dc:language>en-US</dc:language>
  <cp:lastModifiedBy/>
  <dcterms:modified xsi:type="dcterms:W3CDTF">2026-03-23T19:51:11Z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